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mhausrath\Desktop\"/>
    </mc:Choice>
  </mc:AlternateContent>
  <xr:revisionPtr revIDLastSave="0" documentId="8_{0C594BFD-4194-4843-85D4-FD868F8A1776}" xr6:coauthVersionLast="47" xr6:coauthVersionMax="47" xr10:uidLastSave="{00000000-0000-0000-0000-000000000000}"/>
  <workbookProtection workbookAlgorithmName="SHA-512" workbookHashValue="FmbYHS7CEZqdmdXUrhXA1tAO+IKe9Y6//xSzVgj7xPDo4CJTit23+Gi3U1YRZ2WXuKNsK8CZ8ABpRmp8k9iXww==" workbookSaltValue="DWUIwjiQzq3VseT1GmEd1Q==" workbookSpinCount="100000" lockStructure="1"/>
  <bookViews>
    <workbookView xWindow="28680" yWindow="2655" windowWidth="24240" windowHeight="13140" tabRatio="941" xr2:uid="{CC25CD4B-AD86-473F-9A71-1B1095025B42}"/>
  </bookViews>
  <sheets>
    <sheet name="Index" sheetId="1" r:id="rId1"/>
    <sheet name="Employee Profile (1)" sheetId="3" r:id="rId2"/>
    <sheet name="Age (2)" sheetId="7" r:id="rId3"/>
    <sheet name="Sex and Gender ID (3)" sheetId="4" r:id="rId4"/>
    <sheet name="Ethnicity (4)" sheetId="9" r:id="rId5"/>
    <sheet name="Disability (5)" sheetId="5" r:id="rId6"/>
    <sheet name="Sexual Orientation (6)" sheetId="10" r:id="rId7"/>
    <sheet name="Marriage, Civil Partnership (7)" sheetId="11" r:id="rId8"/>
    <sheet name="Faith and Belief (8)" sheetId="8" r:id="rId9"/>
    <sheet name="Promotion (10)" sheetId="20" state="hidden" r:id="rId10"/>
    <sheet name="Recruitment - Gender Id (10)" sheetId="12" state="hidden" r:id="rId11"/>
    <sheet name="Recruitment - Disability (11)" sheetId="13" state="hidden" r:id="rId12"/>
    <sheet name="Recruitment - Age (12)" sheetId="14" state="hidden" r:id="rId13"/>
    <sheet name="Recruitment - Ethnicity  (13)" sheetId="15" state="hidden" r:id="rId14"/>
    <sheet name="Recruitment - Religion (14)" sheetId="16" state="hidden" r:id="rId15"/>
    <sheet name="Recruit-Sexual Orientation (15)" sheetId="17" state="hidden" r:id="rId16"/>
    <sheet name="Recruitment-Marital Status (16)" sheetId="18" state="hidden" r:id="rId17"/>
  </sheets>
  <definedNames>
    <definedName name="_bookmark44" localSheetId="3">'Sex and Gender ID (3)'!#REF!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5" l="1"/>
  <c r="X61" i="9"/>
  <c r="X62" i="9"/>
  <c r="X63" i="9"/>
  <c r="X64" i="9"/>
  <c r="X60" i="9"/>
  <c r="W63" i="9"/>
  <c r="W64" i="9"/>
  <c r="C81" i="5"/>
  <c r="C80" i="5"/>
  <c r="C79" i="5"/>
  <c r="C76" i="10"/>
  <c r="C75" i="10"/>
  <c r="C74" i="10"/>
  <c r="C73" i="10"/>
  <c r="B95" i="9"/>
  <c r="B94" i="9"/>
  <c r="B93" i="9"/>
  <c r="B92" i="9"/>
  <c r="B91" i="9"/>
  <c r="E57" i="3"/>
  <c r="D57" i="3"/>
  <c r="Y63" i="9" l="1"/>
  <c r="Y64" i="9"/>
  <c r="G49" i="3"/>
  <c r="F49" i="3"/>
  <c r="I70" i="11"/>
  <c r="H70" i="11"/>
  <c r="G68" i="10"/>
  <c r="F68" i="10"/>
  <c r="G86" i="9"/>
  <c r="F86" i="9"/>
  <c r="G56" i="8" l="1"/>
  <c r="F56" i="8"/>
  <c r="G105" i="7" l="1"/>
  <c r="F105" i="7"/>
  <c r="H94" i="7"/>
  <c r="G94" i="7"/>
  <c r="F94" i="7"/>
  <c r="E94" i="7"/>
  <c r="D94" i="7"/>
  <c r="H93" i="7"/>
  <c r="G93" i="7"/>
  <c r="F93" i="7"/>
  <c r="E93" i="7"/>
  <c r="C93" i="7"/>
  <c r="H92" i="7"/>
  <c r="G92" i="7"/>
  <c r="F92" i="7"/>
  <c r="E92" i="7"/>
  <c r="D92" i="7"/>
  <c r="G91" i="7"/>
  <c r="F91" i="7"/>
  <c r="E91" i="7"/>
  <c r="D91" i="7"/>
  <c r="C91" i="7"/>
  <c r="G90" i="7"/>
  <c r="F90" i="7"/>
  <c r="E90" i="7"/>
  <c r="H89" i="7"/>
  <c r="G89" i="7"/>
  <c r="F89" i="7"/>
  <c r="E89" i="7"/>
  <c r="D89" i="7"/>
  <c r="C89" i="7"/>
  <c r="D62" i="5"/>
  <c r="C62" i="5"/>
  <c r="B62" i="5"/>
  <c r="D61" i="5"/>
  <c r="B61" i="5"/>
  <c r="J51" i="11"/>
  <c r="I51" i="11"/>
  <c r="H51" i="11"/>
  <c r="J50" i="11"/>
  <c r="I50" i="11"/>
  <c r="H50" i="11"/>
  <c r="G50" i="11"/>
  <c r="F50" i="11"/>
  <c r="E50" i="11"/>
  <c r="J49" i="11"/>
  <c r="I49" i="11"/>
  <c r="H49" i="11"/>
  <c r="F49" i="11"/>
  <c r="E49" i="11"/>
  <c r="O53" i="10"/>
  <c r="N53" i="10"/>
  <c r="B16" i="16"/>
  <c r="B17" i="16"/>
  <c r="B15" i="16"/>
  <c r="B14" i="16"/>
  <c r="B13" i="16"/>
  <c r="S62" i="9"/>
  <c r="W62" i="9" s="1"/>
  <c r="Y62" i="9" s="1"/>
  <c r="R62" i="9"/>
  <c r="Q62" i="9"/>
  <c r="C62" i="9"/>
  <c r="B62" i="9"/>
  <c r="S61" i="9"/>
  <c r="W61" i="9" s="1"/>
  <c r="Y61" i="9" s="1"/>
  <c r="R61" i="9"/>
  <c r="Q61" i="9"/>
  <c r="B61" i="9"/>
  <c r="S60" i="9"/>
  <c r="W60" i="9" s="1"/>
  <c r="Y60" i="9" s="1"/>
  <c r="R60" i="9"/>
  <c r="Q60" i="9"/>
  <c r="C60" i="9"/>
  <c r="B60" i="9"/>
  <c r="L55" i="5"/>
  <c r="L54" i="5"/>
  <c r="B54" i="5"/>
  <c r="L53" i="5"/>
  <c r="B53" i="5"/>
  <c r="L52" i="5"/>
  <c r="B52" i="5"/>
  <c r="B51" i="5"/>
  <c r="B56" i="4"/>
  <c r="B55" i="4"/>
  <c r="B54" i="4"/>
  <c r="C38" i="3"/>
  <c r="D38" i="3"/>
  <c r="C39" i="3"/>
  <c r="D39" i="3"/>
  <c r="C40" i="3"/>
  <c r="D40" i="3"/>
  <c r="C41" i="3"/>
  <c r="D41" i="3"/>
  <c r="C42" i="3"/>
  <c r="D42" i="3"/>
  <c r="B40" i="3"/>
  <c r="B39" i="3"/>
  <c r="B38" i="3"/>
  <c r="G73" i="7" l="1"/>
  <c r="F73" i="7"/>
  <c r="E73" i="7"/>
  <c r="D73" i="7"/>
  <c r="C73" i="7"/>
  <c r="K33" i="3"/>
  <c r="J33" i="3"/>
  <c r="I33" i="3"/>
  <c r="H33" i="3"/>
  <c r="G33" i="3"/>
  <c r="F33" i="3"/>
  <c r="E33" i="3"/>
  <c r="D33" i="3"/>
  <c r="C33" i="3"/>
  <c r="B33" i="3"/>
  <c r="K32" i="3"/>
  <c r="J32" i="3"/>
  <c r="I32" i="3"/>
  <c r="D32" i="3"/>
  <c r="C32" i="3"/>
  <c r="K31" i="8" l="1"/>
  <c r="L31" i="8"/>
  <c r="M31" i="8"/>
  <c r="N31" i="8"/>
  <c r="O31" i="8"/>
  <c r="P31" i="8"/>
  <c r="Q31" i="8"/>
  <c r="J31" i="8"/>
  <c r="L29" i="7"/>
  <c r="D28" i="20" l="1"/>
  <c r="C28" i="20"/>
  <c r="B28" i="20"/>
  <c r="D29" i="20"/>
  <c r="C29" i="20"/>
  <c r="B29" i="20"/>
  <c r="G18" i="20"/>
  <c r="F18" i="20"/>
  <c r="E18" i="20"/>
  <c r="D18" i="20"/>
  <c r="C18" i="20"/>
  <c r="G17" i="20"/>
  <c r="F17" i="20"/>
  <c r="E17" i="20"/>
  <c r="H16" i="20"/>
  <c r="G16" i="20"/>
  <c r="F16" i="20"/>
  <c r="E16" i="20"/>
  <c r="D16" i="20"/>
  <c r="C16" i="20"/>
  <c r="H22" i="20"/>
  <c r="G22" i="20"/>
  <c r="F22" i="20"/>
  <c r="E22" i="20"/>
  <c r="D22" i="20"/>
  <c r="H21" i="20"/>
  <c r="G21" i="20"/>
  <c r="F21" i="20"/>
  <c r="E21" i="20"/>
  <c r="C21" i="20"/>
  <c r="H20" i="20"/>
  <c r="G20" i="20"/>
  <c r="F20" i="20"/>
  <c r="E20" i="20"/>
  <c r="D20" i="20"/>
  <c r="C22" i="3"/>
  <c r="C26" i="3" s="1"/>
  <c r="D22" i="3"/>
  <c r="D26" i="3" s="1"/>
  <c r="E22" i="3"/>
  <c r="E26" i="3" s="1"/>
  <c r="F22" i="3"/>
  <c r="F26" i="3" s="1"/>
  <c r="G22" i="3"/>
  <c r="G25" i="3" s="1"/>
  <c r="H22" i="3"/>
  <c r="H26" i="3" s="1"/>
  <c r="I22" i="3"/>
  <c r="I25" i="3" s="1"/>
  <c r="J22" i="3"/>
  <c r="J25" i="3" s="1"/>
  <c r="K22" i="3"/>
  <c r="K26" i="3" s="1"/>
  <c r="L22" i="3"/>
  <c r="L26" i="3" s="1"/>
  <c r="M22" i="3"/>
  <c r="M26" i="3" s="1"/>
  <c r="B22" i="3"/>
  <c r="B26" i="3" s="1"/>
  <c r="H65" i="7"/>
  <c r="H67" i="7"/>
  <c r="I66" i="7"/>
  <c r="I65" i="7"/>
  <c r="I64" i="7"/>
  <c r="I62" i="7"/>
  <c r="I63" i="7"/>
  <c r="G67" i="7"/>
  <c r="G66" i="7"/>
  <c r="G65" i="7"/>
  <c r="G64" i="7"/>
  <c r="G63" i="7"/>
  <c r="G62" i="7"/>
  <c r="H66" i="7"/>
  <c r="H64" i="7"/>
  <c r="H63" i="7"/>
  <c r="H62" i="7"/>
  <c r="C41" i="7"/>
  <c r="D41" i="7"/>
  <c r="E41" i="7"/>
  <c r="F41" i="7"/>
  <c r="G41" i="7"/>
  <c r="H41" i="7"/>
  <c r="I41" i="7"/>
  <c r="J41" i="7"/>
  <c r="K41" i="7"/>
  <c r="L41" i="7"/>
  <c r="M41" i="7"/>
  <c r="B41" i="7"/>
  <c r="C54" i="7"/>
  <c r="C58" i="7" s="1"/>
  <c r="D54" i="7"/>
  <c r="D57" i="7" s="1"/>
  <c r="E54" i="7"/>
  <c r="E58" i="7" s="1"/>
  <c r="F54" i="7"/>
  <c r="F58" i="7" s="1"/>
  <c r="G54" i="7"/>
  <c r="G57" i="7" s="1"/>
  <c r="H54" i="7"/>
  <c r="H57" i="7" s="1"/>
  <c r="I54" i="7"/>
  <c r="I57" i="7" s="1"/>
  <c r="J54" i="7"/>
  <c r="J57" i="7" s="1"/>
  <c r="K54" i="7"/>
  <c r="K58" i="7" s="1"/>
  <c r="L54" i="7"/>
  <c r="L57" i="7" s="1"/>
  <c r="M54" i="7"/>
  <c r="M58" i="7" s="1"/>
  <c r="B54" i="7"/>
  <c r="B58" i="7" s="1"/>
  <c r="O23" i="17"/>
  <c r="N22" i="17"/>
  <c r="N23" i="17"/>
  <c r="L16" i="17"/>
  <c r="L17" i="17"/>
  <c r="L18" i="17"/>
  <c r="L19" i="17"/>
  <c r="L15" i="17"/>
  <c r="K16" i="17"/>
  <c r="K17" i="17"/>
  <c r="K18" i="17"/>
  <c r="K19" i="17"/>
  <c r="K15" i="17"/>
  <c r="J16" i="17"/>
  <c r="J17" i="17"/>
  <c r="J18" i="17"/>
  <c r="J19" i="17"/>
  <c r="J15" i="17"/>
  <c r="I16" i="17"/>
  <c r="I17" i="17"/>
  <c r="I18" i="17"/>
  <c r="I19" i="17"/>
  <c r="I15" i="17"/>
  <c r="H16" i="17"/>
  <c r="H17" i="17"/>
  <c r="H18" i="17"/>
  <c r="H19" i="17"/>
  <c r="H15" i="17"/>
  <c r="G16" i="17"/>
  <c r="G17" i="17"/>
  <c r="G18" i="17"/>
  <c r="G19" i="17"/>
  <c r="G15" i="17"/>
  <c r="M12" i="13"/>
  <c r="M11" i="13"/>
  <c r="F18" i="13"/>
  <c r="F17" i="13"/>
  <c r="F16" i="13"/>
  <c r="H13" i="13"/>
  <c r="G13" i="13"/>
  <c r="F13" i="13"/>
  <c r="E12" i="13"/>
  <c r="P13" i="15"/>
  <c r="P14" i="15"/>
  <c r="P15" i="15"/>
  <c r="P16" i="15"/>
  <c r="P12" i="15"/>
  <c r="O16" i="15"/>
  <c r="O13" i="15"/>
  <c r="O14" i="15"/>
  <c r="O15" i="15"/>
  <c r="O12" i="15"/>
  <c r="R13" i="15"/>
  <c r="R14" i="15"/>
  <c r="R15" i="15"/>
  <c r="R16" i="15"/>
  <c r="R12" i="15"/>
  <c r="Q13" i="15"/>
  <c r="Q14" i="15"/>
  <c r="Q15" i="15"/>
  <c r="Q16" i="15"/>
  <c r="Q12" i="15"/>
  <c r="L13" i="15"/>
  <c r="L14" i="15"/>
  <c r="L15" i="15"/>
  <c r="L16" i="15"/>
  <c r="L12" i="15"/>
  <c r="K13" i="15"/>
  <c r="K14" i="15"/>
  <c r="K15" i="15"/>
  <c r="K16" i="15"/>
  <c r="K12" i="15"/>
  <c r="L56" i="7" l="1"/>
  <c r="E57" i="7"/>
  <c r="L58" i="7"/>
  <c r="B25" i="3"/>
  <c r="K25" i="3"/>
  <c r="H25" i="3"/>
  <c r="F25" i="3"/>
  <c r="C25" i="3"/>
  <c r="J26" i="3"/>
  <c r="M25" i="3"/>
  <c r="E25" i="3"/>
  <c r="I26" i="3"/>
  <c r="L25" i="3"/>
  <c r="D25" i="3"/>
  <c r="G26" i="3"/>
  <c r="D56" i="7"/>
  <c r="I58" i="7"/>
  <c r="D58" i="7"/>
  <c r="I56" i="7"/>
  <c r="J56" i="7"/>
  <c r="B57" i="7"/>
  <c r="F57" i="7"/>
  <c r="J58" i="7"/>
  <c r="H56" i="7"/>
  <c r="H58" i="7"/>
  <c r="G56" i="7"/>
  <c r="K57" i="7"/>
  <c r="C57" i="7"/>
  <c r="G58" i="7"/>
  <c r="M57" i="7"/>
  <c r="B56" i="7"/>
  <c r="F56" i="7"/>
  <c r="M56" i="7"/>
  <c r="E56" i="7"/>
  <c r="K56" i="7"/>
  <c r="C56" i="7"/>
  <c r="X10" i="12" l="1"/>
  <c r="X9" i="12"/>
  <c r="L16" i="7"/>
  <c r="X12" i="7"/>
  <c r="AB12" i="7" s="1"/>
  <c r="X13" i="7"/>
  <c r="AB13" i="7" s="1"/>
  <c r="S18" i="7"/>
  <c r="S16" i="7" s="1"/>
  <c r="X7" i="7"/>
  <c r="AB7" i="7" s="1"/>
  <c r="X8" i="7"/>
  <c r="AB8" i="7" s="1"/>
  <c r="X9" i="7"/>
  <c r="AB9" i="7" s="1"/>
  <c r="X10" i="7"/>
  <c r="AB10" i="7" s="1"/>
  <c r="X11" i="7"/>
  <c r="AB11" i="7" s="1"/>
  <c r="X6" i="7"/>
  <c r="AB6" i="7" s="1"/>
  <c r="W18" i="7"/>
  <c r="W16" i="7" s="1"/>
  <c r="V18" i="7"/>
  <c r="V16" i="7" s="1"/>
  <c r="U18" i="7"/>
  <c r="U16" i="7" s="1"/>
  <c r="T18" i="7"/>
  <c r="T16" i="7" s="1"/>
  <c r="R18" i="7"/>
  <c r="R16" i="7" s="1"/>
  <c r="Q18" i="7"/>
  <c r="Q16" i="7" s="1"/>
  <c r="P18" i="7"/>
  <c r="P16" i="7" s="1"/>
  <c r="O18" i="7"/>
  <c r="O16" i="7" s="1"/>
  <c r="N18" i="7"/>
  <c r="N16" i="7" s="1"/>
  <c r="M18" i="7"/>
  <c r="M16" i="7" s="1"/>
  <c r="L18" i="7"/>
  <c r="R17" i="12"/>
  <c r="V17" i="12" s="1"/>
  <c r="R16" i="12"/>
  <c r="V16" i="12" s="1"/>
  <c r="R15" i="12"/>
  <c r="U15" i="12" s="1"/>
  <c r="R14" i="12"/>
  <c r="U14" i="12" s="1"/>
  <c r="R13" i="12"/>
  <c r="U13" i="12" s="1"/>
  <c r="V12" i="12"/>
  <c r="U12" i="12"/>
  <c r="T12" i="12"/>
  <c r="H14" i="14"/>
  <c r="G14" i="14"/>
  <c r="F14" i="14"/>
  <c r="E14" i="14"/>
  <c r="D14" i="14"/>
  <c r="C14" i="14"/>
  <c r="B14" i="14"/>
  <c r="H13" i="14"/>
  <c r="H12" i="14"/>
  <c r="A14" i="14"/>
  <c r="G13" i="14"/>
  <c r="F13" i="14"/>
  <c r="E13" i="14"/>
  <c r="D13" i="14"/>
  <c r="C13" i="14"/>
  <c r="B13" i="14"/>
  <c r="G12" i="14"/>
  <c r="F12" i="14"/>
  <c r="E12" i="14"/>
  <c r="D12" i="14"/>
  <c r="C12" i="14"/>
  <c r="B12" i="14"/>
  <c r="V15" i="12" l="1"/>
  <c r="T17" i="12"/>
  <c r="V13" i="12"/>
  <c r="T15" i="12"/>
  <c r="X18" i="7"/>
  <c r="X14" i="7"/>
  <c r="S14" i="12"/>
  <c r="T14" i="12"/>
  <c r="U17" i="12"/>
  <c r="S16" i="12"/>
  <c r="S13" i="12"/>
  <c r="V14" i="12"/>
  <c r="T13" i="12"/>
  <c r="U16" i="12"/>
  <c r="T16" i="12"/>
  <c r="S15" i="12"/>
  <c r="S17" i="12"/>
  <c r="AC6" i="7" l="1"/>
  <c r="AC13" i="7"/>
  <c r="AC12" i="7"/>
  <c r="AC11" i="7"/>
  <c r="AC10" i="7"/>
  <c r="AC9" i="7"/>
  <c r="AC8" i="7"/>
  <c r="AC7" i="7"/>
  <c r="F16" i="17"/>
  <c r="F17" i="17"/>
  <c r="F18" i="17"/>
  <c r="F19" i="17"/>
  <c r="F15" i="17"/>
  <c r="A16" i="17"/>
  <c r="B16" i="17" s="1"/>
  <c r="A17" i="17"/>
  <c r="E17" i="17" s="1"/>
  <c r="A18" i="17"/>
  <c r="E18" i="17" s="1"/>
  <c r="A19" i="17"/>
  <c r="D19" i="17" s="1"/>
  <c r="D16" i="17"/>
  <c r="D17" i="17"/>
  <c r="D18" i="17"/>
  <c r="C18" i="17"/>
  <c r="C15" i="17"/>
  <c r="B17" i="17"/>
  <c r="B18" i="17"/>
  <c r="A15" i="17"/>
  <c r="D15" i="17" s="1"/>
  <c r="R9" i="12"/>
  <c r="T9" i="12" s="1"/>
  <c r="V4" i="12"/>
  <c r="U4" i="12"/>
  <c r="T4" i="12"/>
  <c r="R6" i="12"/>
  <c r="V6" i="12" s="1"/>
  <c r="R7" i="12"/>
  <c r="V7" i="12" s="1"/>
  <c r="R8" i="12"/>
  <c r="V8" i="12" s="1"/>
  <c r="R5" i="12"/>
  <c r="V5" i="12" s="1"/>
  <c r="AJ7" i="16"/>
  <c r="H17" i="18"/>
  <c r="H18" i="18"/>
  <c r="H19" i="18"/>
  <c r="H20" i="18"/>
  <c r="H16" i="18"/>
  <c r="G17" i="18"/>
  <c r="G18" i="18"/>
  <c r="G19" i="18"/>
  <c r="G20" i="18"/>
  <c r="G16" i="18"/>
  <c r="F17" i="18"/>
  <c r="F18" i="18"/>
  <c r="F19" i="18"/>
  <c r="F20" i="18"/>
  <c r="F16" i="18"/>
  <c r="E17" i="18"/>
  <c r="E18" i="18"/>
  <c r="E19" i="18"/>
  <c r="E20" i="18"/>
  <c r="E16" i="18"/>
  <c r="D17" i="18"/>
  <c r="D18" i="18"/>
  <c r="D19" i="18"/>
  <c r="D20" i="18"/>
  <c r="D16" i="18"/>
  <c r="C17" i="18"/>
  <c r="C18" i="18"/>
  <c r="C19" i="18"/>
  <c r="C20" i="18"/>
  <c r="C16" i="18"/>
  <c r="H15" i="18"/>
  <c r="G15" i="18"/>
  <c r="F15" i="18"/>
  <c r="E15" i="18"/>
  <c r="D15" i="18"/>
  <c r="C15" i="18"/>
  <c r="B18" i="18"/>
  <c r="B19" i="18"/>
  <c r="B20" i="18"/>
  <c r="B16" i="18"/>
  <c r="J7" i="18"/>
  <c r="I7" i="18"/>
  <c r="H7" i="18"/>
  <c r="J6" i="18"/>
  <c r="I6" i="18"/>
  <c r="H6" i="18"/>
  <c r="J5" i="18"/>
  <c r="I5" i="18"/>
  <c r="H5" i="18"/>
  <c r="G6" i="18"/>
  <c r="F6" i="18"/>
  <c r="E6" i="18"/>
  <c r="F5" i="18"/>
  <c r="E5" i="18"/>
  <c r="S16" i="17"/>
  <c r="S17" i="17"/>
  <c r="S18" i="17"/>
  <c r="S19" i="17"/>
  <c r="S15" i="17"/>
  <c r="R16" i="17"/>
  <c r="R17" i="17"/>
  <c r="R18" i="17"/>
  <c r="R19" i="17"/>
  <c r="R15" i="17"/>
  <c r="Q16" i="17"/>
  <c r="Q17" i="17"/>
  <c r="Q18" i="17"/>
  <c r="Q19" i="17"/>
  <c r="Q15" i="17"/>
  <c r="P16" i="17"/>
  <c r="P17" i="17"/>
  <c r="P18" i="17"/>
  <c r="P19" i="17"/>
  <c r="P15" i="17"/>
  <c r="O16" i="17"/>
  <c r="O17" i="17"/>
  <c r="O18" i="17"/>
  <c r="O19" i="17"/>
  <c r="O15" i="17"/>
  <c r="N16" i="17"/>
  <c r="N17" i="17"/>
  <c r="N18" i="17"/>
  <c r="N19" i="17"/>
  <c r="N15" i="17"/>
  <c r="O4" i="17"/>
  <c r="N4" i="17"/>
  <c r="AU7" i="16"/>
  <c r="AT7" i="16"/>
  <c r="AS7" i="16"/>
  <c r="AR7" i="16"/>
  <c r="AQ7" i="16"/>
  <c r="AP7" i="16"/>
  <c r="AO7" i="16"/>
  <c r="AN7" i="16"/>
  <c r="AM7" i="16"/>
  <c r="AL7" i="16"/>
  <c r="AK7" i="16"/>
  <c r="AU9" i="16"/>
  <c r="AU8" i="16"/>
  <c r="AU6" i="16"/>
  <c r="AT9" i="16"/>
  <c r="AT8" i="16"/>
  <c r="AT6" i="16"/>
  <c r="AS9" i="16"/>
  <c r="AS8" i="16"/>
  <c r="AS6" i="16"/>
  <c r="AR9" i="16"/>
  <c r="AR8" i="16"/>
  <c r="AR6" i="16"/>
  <c r="AQ9" i="16"/>
  <c r="AQ8" i="16"/>
  <c r="AQ6" i="16"/>
  <c r="AP9" i="16"/>
  <c r="AP8" i="16"/>
  <c r="AP6" i="16"/>
  <c r="AO9" i="16"/>
  <c r="AO8" i="16"/>
  <c r="AO6" i="16"/>
  <c r="AN9" i="16"/>
  <c r="AN8" i="16"/>
  <c r="AN6" i="16"/>
  <c r="AM9" i="16"/>
  <c r="AM8" i="16"/>
  <c r="AM6" i="16"/>
  <c r="AL9" i="16"/>
  <c r="AL8" i="16"/>
  <c r="AL6" i="16"/>
  <c r="AK9" i="16"/>
  <c r="AK8" i="16"/>
  <c r="AK6" i="16"/>
  <c r="AU5" i="16"/>
  <c r="AT5" i="16"/>
  <c r="AS5" i="16"/>
  <c r="AR5" i="16"/>
  <c r="AQ5" i="16"/>
  <c r="AP5" i="16"/>
  <c r="AO5" i="16"/>
  <c r="AN5" i="16"/>
  <c r="AM5" i="16"/>
  <c r="AL5" i="16"/>
  <c r="AK5" i="16"/>
  <c r="AJ6" i="16"/>
  <c r="AJ8" i="16"/>
  <c r="AJ9" i="16"/>
  <c r="AJ5" i="16"/>
  <c r="S14" i="14"/>
  <c r="S15" i="14"/>
  <c r="S16" i="14"/>
  <c r="S17" i="14"/>
  <c r="S13" i="14"/>
  <c r="R14" i="14"/>
  <c r="R15" i="14"/>
  <c r="R16" i="14"/>
  <c r="R17" i="14"/>
  <c r="R13" i="14"/>
  <c r="Q14" i="14"/>
  <c r="Q15" i="14"/>
  <c r="Q16" i="14"/>
  <c r="Q17" i="14"/>
  <c r="Q13" i="14"/>
  <c r="P14" i="14"/>
  <c r="P15" i="14"/>
  <c r="P16" i="14"/>
  <c r="P17" i="14"/>
  <c r="P13" i="14"/>
  <c r="O14" i="14"/>
  <c r="O15" i="14"/>
  <c r="O16" i="14"/>
  <c r="O17" i="14"/>
  <c r="O13" i="14"/>
  <c r="N14" i="14"/>
  <c r="N15" i="14"/>
  <c r="N16" i="14"/>
  <c r="N17" i="14"/>
  <c r="N13" i="14"/>
  <c r="M14" i="14"/>
  <c r="M15" i="14"/>
  <c r="M16" i="14"/>
  <c r="M17" i="14"/>
  <c r="M13" i="14"/>
  <c r="W5" i="14"/>
  <c r="W6" i="14"/>
  <c r="W7" i="14"/>
  <c r="W8" i="14"/>
  <c r="W4" i="14"/>
  <c r="L5" i="13"/>
  <c r="L6" i="13"/>
  <c r="L7" i="13"/>
  <c r="L8" i="13"/>
  <c r="S7" i="12" l="1"/>
  <c r="U5" i="12"/>
  <c r="S6" i="12"/>
  <c r="U8" i="12"/>
  <c r="U7" i="12"/>
  <c r="U6" i="12"/>
  <c r="S5" i="12"/>
  <c r="S8" i="12"/>
  <c r="T5" i="12"/>
  <c r="T8" i="12"/>
  <c r="T7" i="12"/>
  <c r="T6" i="12"/>
  <c r="E19" i="17"/>
  <c r="C19" i="17"/>
  <c r="C17" i="17"/>
  <c r="C16" i="17"/>
  <c r="B19" i="17"/>
  <c r="E16" i="17"/>
  <c r="E15" i="17"/>
  <c r="B15" i="17"/>
  <c r="V9" i="12"/>
  <c r="U9" i="12"/>
  <c r="S9" i="12"/>
  <c r="H14" i="15"/>
  <c r="H15" i="15"/>
  <c r="H16" i="15"/>
  <c r="G14" i="15"/>
  <c r="G15" i="15"/>
  <c r="G16" i="15"/>
  <c r="M14" i="15"/>
  <c r="M15" i="15"/>
  <c r="M16" i="15"/>
  <c r="H13" i="15"/>
  <c r="G13" i="15"/>
  <c r="M13" i="15"/>
  <c r="H12" i="15"/>
  <c r="G12" i="15"/>
  <c r="M12" i="15"/>
  <c r="S7" i="15"/>
  <c r="R7" i="15"/>
  <c r="Q7" i="15"/>
  <c r="S6" i="15"/>
  <c r="R6" i="15"/>
  <c r="Q6" i="15"/>
  <c r="S5" i="15"/>
  <c r="R5" i="15"/>
  <c r="Q5" i="15"/>
  <c r="C7" i="15"/>
  <c r="B7" i="15"/>
  <c r="B6" i="15"/>
  <c r="C5" i="15"/>
  <c r="B5" i="15"/>
  <c r="B6" i="13"/>
  <c r="B5" i="13"/>
  <c r="B4" i="13"/>
  <c r="B7" i="13"/>
  <c r="B7" i="12"/>
  <c r="B6" i="12"/>
  <c r="B5" i="12"/>
  <c r="E14" i="3" l="1"/>
</calcChain>
</file>

<file path=xl/sharedStrings.xml><?xml version="1.0" encoding="utf-8"?>
<sst xmlns="http://schemas.openxmlformats.org/spreadsheetml/2006/main" count="1481" uniqueCount="521">
  <si>
    <t>Employee Profile</t>
  </si>
  <si>
    <t>Table 1</t>
  </si>
  <si>
    <t>Headcount by contract type / working hours / promotion and leavers by work pattern</t>
  </si>
  <si>
    <t xml:space="preserve">Table 2 </t>
  </si>
  <si>
    <t>Employees by working pattern and grade distribution</t>
  </si>
  <si>
    <t>Table 3</t>
  </si>
  <si>
    <t>Leavers by Grade Distribution 2024-2025</t>
  </si>
  <si>
    <t>Table 4</t>
  </si>
  <si>
    <t xml:space="preserve">Total Applicants at each stage of Recruitment Process </t>
  </si>
  <si>
    <t>Table 5</t>
  </si>
  <si>
    <t>Number of employees trained full time v part time</t>
  </si>
  <si>
    <t>Table 6</t>
  </si>
  <si>
    <t>Number of volunteers - "one off" events</t>
  </si>
  <si>
    <t>Age</t>
  </si>
  <si>
    <t>Table 7</t>
  </si>
  <si>
    <t>Employees by Age (2019-2025)</t>
  </si>
  <si>
    <t>Table 8</t>
  </si>
  <si>
    <t>Employees by Age and Gender</t>
  </si>
  <si>
    <t>Table 9</t>
  </si>
  <si>
    <t>Employees by Age and Grade Distribution</t>
  </si>
  <si>
    <t>Table 10</t>
  </si>
  <si>
    <t>Leavers by Age (Employees)</t>
  </si>
  <si>
    <t>Table 11</t>
  </si>
  <si>
    <t>Recruitment  - Age (applications)</t>
  </si>
  <si>
    <t>Table 12</t>
  </si>
  <si>
    <t>All Promotions and Age (Employees)</t>
  </si>
  <si>
    <t>Table 13</t>
  </si>
  <si>
    <t>Training and Age (Employees)</t>
  </si>
  <si>
    <t>Table 14</t>
  </si>
  <si>
    <t>Volunteers "one off" events 2024-2025</t>
  </si>
  <si>
    <t>Sex and Gender Identity</t>
  </si>
  <si>
    <t>Table 15</t>
  </si>
  <si>
    <t>Employee Profile: Leavers / Promotions/ Contract Type / Working Patterns by Gender</t>
  </si>
  <si>
    <t>Table 16</t>
  </si>
  <si>
    <t>Employee Profile: by Grade and Gender</t>
  </si>
  <si>
    <t>Table 17</t>
  </si>
  <si>
    <t>Recruitment by Stages by Gender (All Applicants)</t>
  </si>
  <si>
    <t>Table 18</t>
  </si>
  <si>
    <t xml:space="preserve">Employee Profile:  Number of Employees Trained </t>
  </si>
  <si>
    <t>Table 19</t>
  </si>
  <si>
    <t>All Volunteers by Gender</t>
  </si>
  <si>
    <t>Table 20</t>
  </si>
  <si>
    <t>Employee Profile: Leavers  by Gender (Employees)</t>
  </si>
  <si>
    <t>Ethnicity</t>
  </si>
  <si>
    <t>Table 21</t>
  </si>
  <si>
    <t>Employees Profile -Ethnicity (All)</t>
  </si>
  <si>
    <t>Table 22</t>
  </si>
  <si>
    <t>Employees Profile -Gender (2023-2024 and 2024-2025)</t>
  </si>
  <si>
    <t>Table 23</t>
  </si>
  <si>
    <t xml:space="preserve">Employees Profile -Gender (2018-2019 to 2022-2023) </t>
  </si>
  <si>
    <t>Table 24</t>
  </si>
  <si>
    <t>Employees Profile -Ethnicity - Percentage of employees in each age group (2024-2025)</t>
  </si>
  <si>
    <t>Table 25</t>
  </si>
  <si>
    <t>Recruitment  stages by  Ethnicity (All Applicants)</t>
  </si>
  <si>
    <t>Table 26</t>
  </si>
  <si>
    <t xml:space="preserve">Employee Profile: Training Events by Ethnicity </t>
  </si>
  <si>
    <t>Table 27</t>
  </si>
  <si>
    <t>Volunteers recruited in 2024-2025 by ethnicity status- One off event volunteering</t>
  </si>
  <si>
    <t xml:space="preserve">Disability </t>
  </si>
  <si>
    <t>Table 28</t>
  </si>
  <si>
    <t xml:space="preserve">Employee Profile : Disability Profile </t>
  </si>
  <si>
    <t>Table 29</t>
  </si>
  <si>
    <t>Employee Profile : Disability and Grade 2024-2025</t>
  </si>
  <si>
    <t>Table 30</t>
  </si>
  <si>
    <t>Employee Profile : Disability and Gender</t>
  </si>
  <si>
    <t>Table 31</t>
  </si>
  <si>
    <t>Employees Profile by Age and Disability</t>
  </si>
  <si>
    <t>Table 32</t>
  </si>
  <si>
    <t xml:space="preserve">Recruitment  - Disability (All Applicants) </t>
  </si>
  <si>
    <t>Table 33</t>
  </si>
  <si>
    <t>Employee Profile: Promotion - Disability</t>
  </si>
  <si>
    <t>Table 34</t>
  </si>
  <si>
    <t>Employee Profile: Number of employees trained by disability status</t>
  </si>
  <si>
    <t>Table 35</t>
  </si>
  <si>
    <t>Volunteers recruited in 2024-2025 by disability status- one off event volunteering</t>
  </si>
  <si>
    <t>Sexual Orientation</t>
  </si>
  <si>
    <t>Table 36</t>
  </si>
  <si>
    <t xml:space="preserve">Employee Profile : Sexual Orientation </t>
  </si>
  <si>
    <t>Table 37</t>
  </si>
  <si>
    <t>Employee Profile : Sexual Orientation by Gender</t>
  </si>
  <si>
    <t>Table 38</t>
  </si>
  <si>
    <t>Employee Profile : Sexual Orientation by Gender  2018-2023</t>
  </si>
  <si>
    <t>Table 39</t>
  </si>
  <si>
    <t>Employee Profile : Sexual Orientation by Age 2024-2025</t>
  </si>
  <si>
    <t>Table 40</t>
  </si>
  <si>
    <t>Recruitment  - Sexual Orientation (all Applicants)</t>
  </si>
  <si>
    <t>Table 41</t>
  </si>
  <si>
    <t>Employee Profile: Number of employees trained by Sexual Orientation</t>
  </si>
  <si>
    <t>Table 42</t>
  </si>
  <si>
    <t>Number and percentage of volunteers by Sexual Orientation Status - one off event volunteering</t>
  </si>
  <si>
    <t>Marriage and Civil Partnerships</t>
  </si>
  <si>
    <t>Table 43</t>
  </si>
  <si>
    <t>Employee Profile : Marriage(All Employees)</t>
  </si>
  <si>
    <t>Table 44</t>
  </si>
  <si>
    <t xml:space="preserve">Employee Profile : Marriage by Gender </t>
  </si>
  <si>
    <t>Table 45</t>
  </si>
  <si>
    <t>Employee Profile : Marital Status and Gender 2018-2023</t>
  </si>
  <si>
    <t>Table 46</t>
  </si>
  <si>
    <t>Recruitment  - Marital Status (All Applicants)</t>
  </si>
  <si>
    <t>Table 47</t>
  </si>
  <si>
    <t>Employee Profile: Number of employees trained by Marital Status</t>
  </si>
  <si>
    <t xml:space="preserve">Faith and Belief </t>
  </si>
  <si>
    <t>Table 48</t>
  </si>
  <si>
    <t>Employees Profile - Faith and Belief (All)</t>
  </si>
  <si>
    <t>Table 49</t>
  </si>
  <si>
    <t>Employees Profile - Faith and Belief and Gender</t>
  </si>
  <si>
    <t>Table 50</t>
  </si>
  <si>
    <t>Recruitment  - Faith and Belief (All Applicants)</t>
  </si>
  <si>
    <t>Table 51</t>
  </si>
  <si>
    <t>Employee Profile :Faith and Belief  - Training</t>
  </si>
  <si>
    <t>Employee Profile : Workforce Profile</t>
  </si>
  <si>
    <t>Headcount by contract type and working hours</t>
  </si>
  <si>
    <t>Promotions All Employees</t>
  </si>
  <si>
    <t>Leavers by Work Pattern</t>
  </si>
  <si>
    <t>YEAR</t>
  </si>
  <si>
    <t>Total</t>
  </si>
  <si>
    <t xml:space="preserve">Permanent </t>
  </si>
  <si>
    <t>Fixed Term</t>
  </si>
  <si>
    <t>Modern Apprenticeships</t>
  </si>
  <si>
    <t>Full Time</t>
  </si>
  <si>
    <t>Part Time</t>
  </si>
  <si>
    <t>Number</t>
  </si>
  <si>
    <t>%</t>
  </si>
  <si>
    <t>Full Time (%)</t>
  </si>
  <si>
    <t>Part Time (%)</t>
  </si>
  <si>
    <t>15/01/2025*</t>
  </si>
  <si>
    <t>2024-2025</t>
  </si>
  <si>
    <t>GRADE</t>
  </si>
  <si>
    <t>D</t>
  </si>
  <si>
    <t>C</t>
  </si>
  <si>
    <t>B</t>
  </si>
  <si>
    <t>A</t>
  </si>
  <si>
    <t>Full time</t>
  </si>
  <si>
    <t xml:space="preserve">Part time </t>
  </si>
  <si>
    <t>2024-2025*</t>
  </si>
  <si>
    <t>Table  3</t>
  </si>
  <si>
    <t>GRADE Distribution 2024-2025</t>
  </si>
  <si>
    <t>Total number of applicants</t>
  </si>
  <si>
    <t>Shortlisted</t>
  </si>
  <si>
    <t>Selected **</t>
  </si>
  <si>
    <t>Full-time vs Part-time</t>
  </si>
  <si>
    <t>No. of employees trained 2019/20</t>
  </si>
  <si>
    <t>No. of employees trained 2020/21</t>
  </si>
  <si>
    <t>No. of employees trained 2021/22</t>
  </si>
  <si>
    <t>No. of employees trained 2022/23</t>
  </si>
  <si>
    <t>No. of employees trained 2023/24</t>
  </si>
  <si>
    <t>No. of employees trained 2024/25</t>
  </si>
  <si>
    <t>Full-time</t>
  </si>
  <si>
    <t>Part-time</t>
  </si>
  <si>
    <t>Total No.of employees trained</t>
  </si>
  <si>
    <t>Total Employees</t>
  </si>
  <si>
    <t>VOLUNTEER PROGRAMME</t>
  </si>
  <si>
    <t>2020/21 and 2021/22</t>
  </si>
  <si>
    <t>2022/23</t>
  </si>
  <si>
    <t>2023/24</t>
  </si>
  <si>
    <t>2024/25*</t>
  </si>
  <si>
    <t>Number of on-going volunteers ***</t>
  </si>
  <si>
    <t>One off Event Volunteering</t>
  </si>
  <si>
    <t>TOTAL</t>
  </si>
  <si>
    <t>* These figures will be updated in Q1 of 2025/2026</t>
  </si>
  <si>
    <t xml:space="preserve">** Selected ( not all applicants accepted the offer of employment) </t>
  </si>
  <si>
    <t>***On-going volunteers are listed on the HR Management Information System as they have a continuing role at National Museums Scotland which is reviewed yearly or at the end of a project.</t>
  </si>
  <si>
    <t xml:space="preserve">Employees Profile: Age </t>
  </si>
  <si>
    <t>16-25</t>
  </si>
  <si>
    <t>25-34</t>
  </si>
  <si>
    <t>35-44</t>
  </si>
  <si>
    <t>45-54</t>
  </si>
  <si>
    <t>55-64</t>
  </si>
  <si>
    <t>65+</t>
  </si>
  <si>
    <t>Disabled</t>
  </si>
  <si>
    <t>No Disability</t>
  </si>
  <si>
    <t>Prefer not to say</t>
  </si>
  <si>
    <t>CENSUS 2022 - Scotland****</t>
  </si>
  <si>
    <t>Age Band</t>
  </si>
  <si>
    <t>2018/19 (%)</t>
  </si>
  <si>
    <t>2019/20 (%)</t>
  </si>
  <si>
    <t>2020/21 (%)</t>
  </si>
  <si>
    <t>2021/22 (%)</t>
  </si>
  <si>
    <t>2022/23 (%)</t>
  </si>
  <si>
    <t>2023/24 (%)</t>
  </si>
  <si>
    <t>2024/25 (%)</t>
  </si>
  <si>
    <t>Mal e</t>
  </si>
  <si>
    <t xml:space="preserve">Female </t>
  </si>
  <si>
    <t>Female e</t>
  </si>
  <si>
    <t>Male</t>
  </si>
  <si>
    <t>Female</t>
  </si>
  <si>
    <t>Other</t>
  </si>
  <si>
    <t>16-24</t>
  </si>
  <si>
    <t>65 +</t>
  </si>
  <si>
    <t>TOTA L</t>
  </si>
  <si>
    <t>GRADE Distribution by Age 2024-2025 only</t>
  </si>
  <si>
    <t>AGE</t>
  </si>
  <si>
    <t>Leavers by Age Distribution</t>
  </si>
  <si>
    <t>65 plus</t>
  </si>
  <si>
    <t xml:space="preserve"> Recruitment  - Age (Applications)</t>
  </si>
  <si>
    <t>Applications</t>
  </si>
  <si>
    <t>Selected</t>
  </si>
  <si>
    <t>All Promotion by Age Distribution</t>
  </si>
  <si>
    <t>2023-24</t>
  </si>
  <si>
    <t>Promotion</t>
  </si>
  <si>
    <t>Temporary Promotion</t>
  </si>
  <si>
    <t>TOTAL 2024</t>
  </si>
  <si>
    <t>2024-25</t>
  </si>
  <si>
    <t>TOTAL 2025</t>
  </si>
  <si>
    <t>2019/20</t>
  </si>
  <si>
    <t>2020/21</t>
  </si>
  <si>
    <t>2021/22</t>
  </si>
  <si>
    <t>2024/25</t>
  </si>
  <si>
    <t>Age Range</t>
  </si>
  <si>
    <t>15 -  19 years</t>
  </si>
  <si>
    <t>20 - 24 years</t>
  </si>
  <si>
    <t>25 - 29 years</t>
  </si>
  <si>
    <t>30 - 34 years</t>
  </si>
  <si>
    <t>35- 39 years</t>
  </si>
  <si>
    <t>40 - 44 years</t>
  </si>
  <si>
    <t>45 - 49 years</t>
  </si>
  <si>
    <t>50 - 54 years</t>
  </si>
  <si>
    <t>55 - 59 years</t>
  </si>
  <si>
    <t>60 - 64 years</t>
  </si>
  <si>
    <t>65 years +</t>
  </si>
  <si>
    <t>**** Census Scotland figures excluse under 15 and over 70 population</t>
  </si>
  <si>
    <t>Employees Profile : Sex / Gender Identity</t>
  </si>
  <si>
    <t>Employees by Sex</t>
  </si>
  <si>
    <t>Employees by Gender they most identify with (%)</t>
  </si>
  <si>
    <t>Leavers by gender</t>
  </si>
  <si>
    <t>Promotions by gender</t>
  </si>
  <si>
    <t>Headcount by contract type and gender</t>
  </si>
  <si>
    <t>Headcount by working pattern and gender</t>
  </si>
  <si>
    <t>Female (%)</t>
  </si>
  <si>
    <t>Male (%)</t>
  </si>
  <si>
    <t>Other (%)</t>
  </si>
  <si>
    <t>Prefer not to Say (%)</t>
  </si>
  <si>
    <t>Prefer not to say (%)</t>
  </si>
  <si>
    <t>Female %</t>
  </si>
  <si>
    <t>Male %</t>
  </si>
  <si>
    <t>No.</t>
  </si>
  <si>
    <t>Fixed-Term</t>
  </si>
  <si>
    <t>Permanent</t>
  </si>
  <si>
    <t>Full/Time</t>
  </si>
  <si>
    <t>Part/Time</t>
  </si>
  <si>
    <t>CENSUS 2022 - Scotland</t>
  </si>
  <si>
    <t>Employees by Gender they most identify with</t>
  </si>
  <si>
    <t>(Data only collected since 2024)</t>
  </si>
  <si>
    <t>Grade</t>
  </si>
  <si>
    <t>2024/25* (%)</t>
  </si>
  <si>
    <t xml:space="preserve">Selected </t>
  </si>
  <si>
    <t>Prefer not to say / Not stated</t>
  </si>
  <si>
    <t>Year</t>
  </si>
  <si>
    <t>Employee Headcount</t>
  </si>
  <si>
    <t>Total Employees Trained</t>
  </si>
  <si>
    <t>Total as % of Headcount</t>
  </si>
  <si>
    <t>Gender Profile</t>
  </si>
  <si>
    <t>2020/21 and 2021/22 (%)</t>
  </si>
  <si>
    <t>2023/2024 (%)</t>
  </si>
  <si>
    <t>2024/2025 (%)</t>
  </si>
  <si>
    <t>Total Headcount</t>
  </si>
  <si>
    <t>Employees Profile : Ethnicity</t>
  </si>
  <si>
    <t>Asian, Asian Scottish or Asian British</t>
  </si>
  <si>
    <t>African</t>
  </si>
  <si>
    <t>Caribbean or Black</t>
  </si>
  <si>
    <t>Mixed or Multiple Ethnic Groups</t>
  </si>
  <si>
    <t>Other ethnic groups</t>
  </si>
  <si>
    <t>White</t>
  </si>
  <si>
    <t>N/A</t>
  </si>
  <si>
    <t>Ethnic Origin</t>
  </si>
  <si>
    <t>Asian: Chinese</t>
  </si>
  <si>
    <t>-</t>
  </si>
  <si>
    <t>Asian: Indian</t>
  </si>
  <si>
    <t>Asian: Other</t>
  </si>
  <si>
    <t>Asian: Pakistani</t>
  </si>
  <si>
    <t>Black: African</t>
  </si>
  <si>
    <t>Black: Other</t>
  </si>
  <si>
    <t>White: Irish</t>
  </si>
  <si>
    <t>White: Other</t>
  </si>
  <si>
    <t>White: Other British</t>
  </si>
  <si>
    <t>White: Scottish</t>
  </si>
  <si>
    <t>Mixed</t>
  </si>
  <si>
    <t>Do not wish to declare</t>
  </si>
  <si>
    <t>Asian, Asian Scottish or Asian British (%)</t>
  </si>
  <si>
    <t>African (%)</t>
  </si>
  <si>
    <t>Caribbean or Black (%)</t>
  </si>
  <si>
    <t>Mixed or Multiple Ethnic Groups (%)</t>
  </si>
  <si>
    <t>Other ethnic groups (%)</t>
  </si>
  <si>
    <t>White (%)</t>
  </si>
  <si>
    <t>Asian, Asian Scottish or Asian British - Applications</t>
  </si>
  <si>
    <t>Asian, Asian Scottish or Asian British - Shortlisted</t>
  </si>
  <si>
    <t>Asian, Asian Scottish or Asian British - Selected</t>
  </si>
  <si>
    <t>African - Applications</t>
  </si>
  <si>
    <t>African - Shortlisted</t>
  </si>
  <si>
    <t>African - Selected</t>
  </si>
  <si>
    <t>Caribbean or Black - Applications</t>
  </si>
  <si>
    <t>Caribbean or Black - Shortlisted</t>
  </si>
  <si>
    <t>Caribbean or Black - Selected</t>
  </si>
  <si>
    <t>Mixed or Multiple Ethnic Groups - Applications</t>
  </si>
  <si>
    <t>Mixed or Multiple Ethnic Groups - Shortlisted</t>
  </si>
  <si>
    <t>Mixed or Multiple Ethnic Groups - Selected</t>
  </si>
  <si>
    <t>Other ethnic groups - Applications</t>
  </si>
  <si>
    <t>Other ethnic groups - Shortlisted</t>
  </si>
  <si>
    <t>Other ethnic groups - Selected</t>
  </si>
  <si>
    <t>White - Applications</t>
  </si>
  <si>
    <t>White - Shortlisted</t>
  </si>
  <si>
    <t>White - Selected</t>
  </si>
  <si>
    <t>Prefer not to say - Applications</t>
  </si>
  <si>
    <t>Prefer not to say - Shortlisted</t>
  </si>
  <si>
    <t>Prefer not to say - Selected</t>
  </si>
  <si>
    <t>Any other ethnic group</t>
  </si>
  <si>
    <t xml:space="preserve">Employee Profile: Disability </t>
  </si>
  <si>
    <t>% of employees who have declared a disability</t>
  </si>
  <si>
    <t>% of employees who have declared they have "no" disability</t>
  </si>
  <si>
    <t>% of employees who have chosen not to disclose this information</t>
  </si>
  <si>
    <t>GRADE 2024-2025</t>
  </si>
  <si>
    <t>% of employees who have declared they have no disability</t>
  </si>
  <si>
    <t>% of 
employees 
who have 
declared a 
disability</t>
  </si>
  <si>
    <t>% of 
employees 
who have 
declared 
they have 
no 
disability</t>
  </si>
  <si>
    <t>% of 
employees 
who have 
chosen not to 
disclose this 
information</t>
  </si>
  <si>
    <t>All Applications</t>
  </si>
  <si>
    <t xml:space="preserve">Disabled candidates appointed </t>
  </si>
  <si>
    <t>Declared Disability</t>
  </si>
  <si>
    <t xml:space="preserve"> No Disability</t>
  </si>
  <si>
    <t>Prefer Not to Say / Not stated</t>
  </si>
  <si>
    <t>All Promotion by Disability</t>
  </si>
  <si>
    <t>Has a declared disability</t>
  </si>
  <si>
    <t>Has no declared disability</t>
  </si>
  <si>
    <t>Disability Status</t>
  </si>
  <si>
    <t>(%)</t>
  </si>
  <si>
    <t>No</t>
  </si>
  <si>
    <t>Yes</t>
  </si>
  <si>
    <t>Employee Profile: Sexual Orientation</t>
  </si>
  <si>
    <t>Heterosexual/Straight</t>
  </si>
  <si>
    <t>Gay or Lesbian</t>
  </si>
  <si>
    <t>Bisexual</t>
  </si>
  <si>
    <t>Other Sexual Orientation</t>
  </si>
  <si>
    <t>Not answered / Prefer not to say</t>
  </si>
  <si>
    <t>Heterosexual</t>
  </si>
  <si>
    <t>Homosexual</t>
  </si>
  <si>
    <t>Not specified</t>
  </si>
  <si>
    <t xml:space="preserve">Prefer not to say </t>
  </si>
  <si>
    <t xml:space="preserve"> Applications</t>
  </si>
  <si>
    <t>Sexual Orientation Status</t>
  </si>
  <si>
    <t>Bi-sexual</t>
  </si>
  <si>
    <t>Heterosexual / straight</t>
  </si>
  <si>
    <t>Homosexual / gay / lesbian</t>
  </si>
  <si>
    <t>Employee Profile: Marriage / Civil Partnerships</t>
  </si>
  <si>
    <t>Divorced or civil partnership dissolved</t>
  </si>
  <si>
    <t>Married or in a registered civil partnership</t>
  </si>
  <si>
    <t>Never married and never registered in a civil partnership</t>
  </si>
  <si>
    <t>Separated, but still legally married or still legally in a civil partnership</t>
  </si>
  <si>
    <t>Widowed or surviving civil partnership partner</t>
  </si>
  <si>
    <t>Prefer not to say / Not Stated</t>
  </si>
  <si>
    <t>Marital Status</t>
  </si>
  <si>
    <t>Never married / registered in a civil partnership</t>
  </si>
  <si>
    <t>Widowed/surviving partner from a civil partnership</t>
  </si>
  <si>
    <t>Single</t>
  </si>
  <si>
    <t>Civil Partnership</t>
  </si>
  <si>
    <t>Cohabiting</t>
  </si>
  <si>
    <t>Divorced</t>
  </si>
  <si>
    <t>Married</t>
  </si>
  <si>
    <t>Married/Civil Partnership</t>
  </si>
  <si>
    <t>Separated</t>
  </si>
  <si>
    <t>Unmarried</t>
  </si>
  <si>
    <t>Widowed</t>
  </si>
  <si>
    <t xml:space="preserve">Divorced or Civil Partnership Dissolved </t>
  </si>
  <si>
    <t xml:space="preserve">Married or in a registered civil partnership </t>
  </si>
  <si>
    <t>Never married and never registered in a Civil Partnership</t>
  </si>
  <si>
    <t>Separated, but still legally married or still legally in a Civil Partnership</t>
  </si>
  <si>
    <t xml:space="preserve"> Selected**</t>
  </si>
  <si>
    <t>Selected**</t>
  </si>
  <si>
    <t xml:space="preserve">Employee Profile : Faith and Belief </t>
  </si>
  <si>
    <t>Buddhist</t>
  </si>
  <si>
    <t>Roman Catholic</t>
  </si>
  <si>
    <t>Other Christian</t>
  </si>
  <si>
    <t>Church of Scotland</t>
  </si>
  <si>
    <t>Hindu</t>
  </si>
  <si>
    <t>Jewish</t>
  </si>
  <si>
    <t>Muslim</t>
  </si>
  <si>
    <t>No religion</t>
  </si>
  <si>
    <t xml:space="preserve">Pagan </t>
  </si>
  <si>
    <t>Other religion</t>
  </si>
  <si>
    <t>Religion not stated</t>
  </si>
  <si>
    <t>Faith or Belief</t>
  </si>
  <si>
    <t>Other Religion</t>
  </si>
  <si>
    <t>No Religion</t>
  </si>
  <si>
    <t>Pagan</t>
  </si>
  <si>
    <t>Prefer not to Say</t>
  </si>
  <si>
    <t>TOTALS</t>
  </si>
  <si>
    <t>Buddhist - Applications</t>
  </si>
  <si>
    <t>Buddhist - Shortlisted</t>
  </si>
  <si>
    <t>Buddhist  Selected**</t>
  </si>
  <si>
    <t>Roman Catholic - Applications</t>
  </si>
  <si>
    <t>Roman Catholic - Shortlisted</t>
  </si>
  <si>
    <t>Roman Catholic  Selected**</t>
  </si>
  <si>
    <t>Other Christian - Applications</t>
  </si>
  <si>
    <t>Other Christian - Shortlisted</t>
  </si>
  <si>
    <t>Other Christian - Selected**</t>
  </si>
  <si>
    <t>Church of Scotland - Applications</t>
  </si>
  <si>
    <t>Church of Scotland - Shortlisted</t>
  </si>
  <si>
    <t>Church of Scotland  Selected**</t>
  </si>
  <si>
    <t>Hindu - Applications</t>
  </si>
  <si>
    <t>Hindu- Shortlisted</t>
  </si>
  <si>
    <t>Hindu  Selected**</t>
  </si>
  <si>
    <t>Jewish - Applications</t>
  </si>
  <si>
    <t>Jewish - Shortlisted</t>
  </si>
  <si>
    <t>Jewish - Selected**</t>
  </si>
  <si>
    <t>Muslim - Applications</t>
  </si>
  <si>
    <t>Muslim - Shortlisted</t>
  </si>
  <si>
    <t>Muslim - Selected**</t>
  </si>
  <si>
    <t>No religion - Applications</t>
  </si>
  <si>
    <t>No religion - Shortlisted</t>
  </si>
  <si>
    <t>No religion - Selected **</t>
  </si>
  <si>
    <t>Pagan  - Applications</t>
  </si>
  <si>
    <t>Pagan - Shortlisted</t>
  </si>
  <si>
    <t>Pagan  - Selected**</t>
  </si>
  <si>
    <t>Other religion - Applications</t>
  </si>
  <si>
    <t>Other religion - Shortlisted</t>
  </si>
  <si>
    <t>Other religion- Selected**</t>
  </si>
  <si>
    <t>Prefer not to say - Selected**</t>
  </si>
  <si>
    <t>Table 10: Promotions</t>
  </si>
  <si>
    <t>Disability</t>
  </si>
  <si>
    <t>Prefer not to ay</t>
  </si>
  <si>
    <t xml:space="preserve">Table 10: Recruitment  - Applicants by Gender Identity </t>
  </si>
  <si>
    <t>SELECTED</t>
  </si>
  <si>
    <t xml:space="preserve">Table 11: Recruitment  - Disability </t>
  </si>
  <si>
    <t>TOTAL All Applications</t>
  </si>
  <si>
    <t>TOTAL with a Disability</t>
  </si>
  <si>
    <t>TOTAL with No Disability</t>
  </si>
  <si>
    <t>Shortlisted Disability</t>
  </si>
  <si>
    <t>Shortlisted No Disability</t>
  </si>
  <si>
    <t>Shortlisted Prefer Not to Say / Not stated</t>
  </si>
  <si>
    <t>Selected Disability</t>
  </si>
  <si>
    <t>Selected  No Disability</t>
  </si>
  <si>
    <t>Selected  Prefer Not to Say / Not stated</t>
  </si>
  <si>
    <t xml:space="preserve">TOTAL Shortlisted </t>
  </si>
  <si>
    <t>Appointed</t>
  </si>
  <si>
    <t>Table 12: Recruitment  - Age</t>
  </si>
  <si>
    <t>16-24 Applications</t>
  </si>
  <si>
    <t>16-24 Shortlisted</t>
  </si>
  <si>
    <t>16-24 Selected</t>
  </si>
  <si>
    <t>25-34 Applications</t>
  </si>
  <si>
    <t>25-34 Shortlisted</t>
  </si>
  <si>
    <t>25-34 Selected</t>
  </si>
  <si>
    <t>35 - 44 Applications</t>
  </si>
  <si>
    <t>35 - 44 Shortlisted</t>
  </si>
  <si>
    <t>35 - 44 Selected</t>
  </si>
  <si>
    <t>45 - 54 Applications</t>
  </si>
  <si>
    <t>45 -54 Shortlisted</t>
  </si>
  <si>
    <t>45 - 54 Selected</t>
  </si>
  <si>
    <t>55 - 64 Applications</t>
  </si>
  <si>
    <t>55 - 64 Shortlisted</t>
  </si>
  <si>
    <t>55 - 64 Selected</t>
  </si>
  <si>
    <t>65+ Applications</t>
  </si>
  <si>
    <t>65+ Shortlisted</t>
  </si>
  <si>
    <t>65+ Selected</t>
  </si>
  <si>
    <t>Prefer not to say applications</t>
  </si>
  <si>
    <t>Prefer not to say shortlisted</t>
  </si>
  <si>
    <t>Prefer not to say Selected</t>
  </si>
  <si>
    <t>24-34</t>
  </si>
  <si>
    <t>Prefer Not to say Selected</t>
  </si>
  <si>
    <t>We are recruiting people from younger age categories</t>
  </si>
  <si>
    <t xml:space="preserve">Employee demographic is 50/50 with 50% of employees under the age of 44; however 72% of those we appointed were under the age of 44. </t>
  </si>
  <si>
    <t>Table 13: Recruitment  - Ethnicity</t>
  </si>
  <si>
    <t>Caribben or Black - Applications</t>
  </si>
  <si>
    <t>Caribben or Black - Shortlisted</t>
  </si>
  <si>
    <t>Caribben or Black - Selected</t>
  </si>
  <si>
    <t>Mixed or Multiple Ethnic Groups - Shorlisted</t>
  </si>
  <si>
    <t>White Background Selected</t>
  </si>
  <si>
    <t>Ethnic Minority Selected</t>
  </si>
  <si>
    <t>Total Appointed</t>
  </si>
  <si>
    <t xml:space="preserve">Applicants </t>
  </si>
  <si>
    <t>% of all Applications</t>
  </si>
  <si>
    <t>% Of applicants Shortlisted</t>
  </si>
  <si>
    <t>% Of Appointed</t>
  </si>
  <si>
    <t>Broad Groupings</t>
  </si>
  <si>
    <t>Composition / categories</t>
  </si>
  <si>
    <t xml:space="preserve">Asian; Asian Scottish or Asian British Asian; Pakistani; Pakistani Scottish; Indian British; Chinese ; Chinese Scottish; Chinese British; Other Asian  </t>
  </si>
  <si>
    <t>African; African Scottish; African British; Other African</t>
  </si>
  <si>
    <t xml:space="preserve">Caribbean or Black; Caribbean Scottish; Caribbean British; Black; Black Scottish or Black British </t>
  </si>
  <si>
    <t xml:space="preserve">Other Ethnic Groups </t>
  </si>
  <si>
    <t>Other Ethnic Groups; Arab; Arab Scottish; Arab British</t>
  </si>
  <si>
    <t xml:space="preserve">White Scottish; Other White British; White Irish; Gypsy / Traveller; White Polish; Other White </t>
  </si>
  <si>
    <t>Table 14: Recruitment  - Faith and Belief</t>
  </si>
  <si>
    <t>Buddhist  Selected</t>
  </si>
  <si>
    <t>Roman Catholic  Selected</t>
  </si>
  <si>
    <t>Other Christian - Selected</t>
  </si>
  <si>
    <t>Church of Scotland - Shorlisted</t>
  </si>
  <si>
    <t>Church of Scotland  Selected</t>
  </si>
  <si>
    <t>Hindu  Selected</t>
  </si>
  <si>
    <t>Jewish - Selected</t>
  </si>
  <si>
    <t>Muslim - Selected</t>
  </si>
  <si>
    <t>No religion - Selected</t>
  </si>
  <si>
    <t>Pagan  - Selected</t>
  </si>
  <si>
    <t>Other religion- Selected</t>
  </si>
  <si>
    <t xml:space="preserve">Other Christian </t>
  </si>
  <si>
    <t>Table 15: Recruitment  - Sexual Orientation</t>
  </si>
  <si>
    <t>Heterosexual/Straight Applications</t>
  </si>
  <si>
    <t>Heterosexual/Straight Shortlisted</t>
  </si>
  <si>
    <t>Heterosexual/Straight Selected</t>
  </si>
  <si>
    <t>Gay or Lesbian Applications</t>
  </si>
  <si>
    <t>Gay or Lesbian Shortlisted</t>
  </si>
  <si>
    <t>Gay or Lesbian Selected</t>
  </si>
  <si>
    <t>Bisexual Applications</t>
  </si>
  <si>
    <t>Bisexual Shortlisted</t>
  </si>
  <si>
    <t>Bisexual Selected</t>
  </si>
  <si>
    <t>Other Sexual Orientation Applications</t>
  </si>
  <si>
    <t>Other Sexual Orientation Shortlisted</t>
  </si>
  <si>
    <t>Other Sexual Orientation Selected</t>
  </si>
  <si>
    <t>Table 16: Recruitment  - Marital Status</t>
  </si>
  <si>
    <t>Divorced or Civil Partnership Dissolved - Applications</t>
  </si>
  <si>
    <t>Divorced or Civil Partnership Dissolved - Shortlisted</t>
  </si>
  <si>
    <t>Divorced or Civil Partnership Dissolved - Selected</t>
  </si>
  <si>
    <t>Married or in a registered civil partnership - Applications</t>
  </si>
  <si>
    <t>Married or in a registered Civil Partnership - Shortlisted</t>
  </si>
  <si>
    <t>Married or in a registered Civil Partnership - Selected</t>
  </si>
  <si>
    <t>Never married and never registered in a Civil Partnership - Applications</t>
  </si>
  <si>
    <t>Never married and never registered in a Civil Partnership - Shortlisted</t>
  </si>
  <si>
    <t>Never married and never registered in a Civil Partnership - Selected</t>
  </si>
  <si>
    <t>Separated, but still legally married or still legally in a Civil Partnership - Applications</t>
  </si>
  <si>
    <t>Separated, but still legally married or still legally in a Civil Partnership - Shorlisted</t>
  </si>
  <si>
    <t>Separated, but still legally married or still legally in a Civil Partnership - Appointed</t>
  </si>
  <si>
    <t>Widowed or surviving civil partnership partner - Applications</t>
  </si>
  <si>
    <t>Widowed or surviving civil partnership partner - Shortlisted</t>
  </si>
  <si>
    <t>Widowed or surviving civil partnership partner - Selected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</si>
</sst>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0.0%"/>
    <numFmt numFmtId="166" formatCode="0.0"/>
    <numFmt numFmtId="167" formatCode="[$-1010809]General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color theme="9"/>
      <name val="Aptos Narrow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Aptos Narrow"/>
      <family val="2"/>
    </font>
    <font>
      <sz val="11"/>
      <color rgb="FF000000"/>
      <name val="Aptos Narrow"/>
      <family val="2"/>
    </font>
    <font>
      <sz val="10"/>
      <color rgb="FF000000"/>
      <name val="Arial"/>
      <family val="2"/>
    </font>
    <font>
      <sz val="11"/>
      <color rgb="FF00000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  <font>
      <sz val="11"/>
      <color indexed="49"/>
      <name val="Aptos Narrow"/>
      <family val="2"/>
      <scheme val="minor"/>
    </font>
    <font>
      <sz val="11"/>
      <color indexed="63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sz val="11"/>
      <name val="Aptos Narrow"/>
      <family val="2"/>
    </font>
    <font>
      <b/>
      <sz val="11"/>
      <color theme="1"/>
      <name val="Aptos Narrow"/>
      <family val="2"/>
    </font>
    <font>
      <b/>
      <sz val="11"/>
      <color rgb="FF000000"/>
      <name val="Aptos Narrow"/>
      <family val="2"/>
    </font>
    <font>
      <b/>
      <sz val="11"/>
      <color rgb="FF000000"/>
      <name val="Aptos Narrow"/>
      <family val="2"/>
      <scheme val="minor"/>
    </font>
    <font>
      <sz val="11"/>
      <color rgb="FF000000"/>
      <name val="Aptos Narrow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459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2" fillId="0" borderId="0" xfId="0" applyFont="1"/>
    <xf numFmtId="164" fontId="2" fillId="0" borderId="0" xfId="0" applyNumberFormat="1" applyFont="1" applyAlignment="1">
      <alignment horizontal="left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quotePrefix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quotePrefix="1" applyBorder="1" applyAlignment="1">
      <alignment horizontal="center" vertical="center"/>
    </xf>
    <xf numFmtId="0" fontId="3" fillId="0" borderId="0" xfId="0" applyFont="1"/>
    <xf numFmtId="164" fontId="2" fillId="0" borderId="16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9" fontId="0" fillId="0" borderId="0" xfId="1" applyFont="1"/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6" xfId="0" quotePrefix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15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2" fillId="0" borderId="30" xfId="0" applyFont="1" applyBorder="1" applyAlignment="1">
      <alignment horizontal="left" vertical="center"/>
    </xf>
    <xf numFmtId="0" fontId="4" fillId="0" borderId="16" xfId="0" applyFont="1" applyBorder="1" applyAlignment="1">
      <alignment vertical="center" wrapText="1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164" fontId="2" fillId="0" borderId="33" xfId="0" applyNumberFormat="1" applyFont="1" applyBorder="1" applyAlignment="1">
      <alignment horizontal="center" vertical="center"/>
    </xf>
    <xf numFmtId="14" fontId="0" fillId="0" borderId="34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5" fillId="0" borderId="0" xfId="0" applyFont="1"/>
    <xf numFmtId="9" fontId="0" fillId="0" borderId="0" xfId="1" applyFont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 wrapText="1"/>
    </xf>
    <xf numFmtId="164" fontId="0" fillId="0" borderId="31" xfId="0" applyNumberFormat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10" fontId="0" fillId="0" borderId="0" xfId="1" applyNumberFormat="1" applyFont="1"/>
    <xf numFmtId="10" fontId="0" fillId="0" borderId="0" xfId="0" applyNumberFormat="1"/>
    <xf numFmtId="9" fontId="0" fillId="0" borderId="0" xfId="0" applyNumberFormat="1"/>
    <xf numFmtId="0" fontId="0" fillId="0" borderId="15" xfId="0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9" fontId="0" fillId="0" borderId="37" xfId="1" applyFont="1" applyBorder="1"/>
    <xf numFmtId="9" fontId="0" fillId="0" borderId="34" xfId="1" applyFont="1" applyBorder="1"/>
    <xf numFmtId="9" fontId="0" fillId="0" borderId="35" xfId="1" applyFont="1" applyBorder="1"/>
    <xf numFmtId="0" fontId="0" fillId="0" borderId="19" xfId="0" quotePrefix="1" applyBorder="1" applyAlignment="1">
      <alignment horizontal="center" vertical="center"/>
    </xf>
    <xf numFmtId="0" fontId="0" fillId="0" borderId="17" xfId="0" quotePrefix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9" fontId="0" fillId="0" borderId="0" xfId="1" applyFont="1" applyFill="1" applyBorder="1" applyAlignment="1">
      <alignment horizontal="center" vertical="center"/>
    </xf>
    <xf numFmtId="9" fontId="0" fillId="0" borderId="7" xfId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42" xfId="0" applyBorder="1" applyAlignment="1">
      <alignment wrapText="1"/>
    </xf>
    <xf numFmtId="9" fontId="0" fillId="0" borderId="42" xfId="1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9" fontId="0" fillId="0" borderId="4" xfId="1" applyFont="1" applyBorder="1" applyAlignment="1">
      <alignment horizontal="center" vertical="center"/>
    </xf>
    <xf numFmtId="9" fontId="0" fillId="0" borderId="5" xfId="1" applyFont="1" applyBorder="1" applyAlignment="1">
      <alignment horizontal="center" vertical="center"/>
    </xf>
    <xf numFmtId="9" fontId="0" fillId="0" borderId="44" xfId="1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1" xfId="0" applyBorder="1"/>
    <xf numFmtId="0" fontId="0" fillId="0" borderId="45" xfId="0" applyBorder="1"/>
    <xf numFmtId="9" fontId="0" fillId="0" borderId="9" xfId="1" applyFont="1" applyBorder="1" applyAlignment="1">
      <alignment horizontal="center" vertical="center"/>
    </xf>
    <xf numFmtId="9" fontId="0" fillId="0" borderId="10" xfId="1" applyFont="1" applyBorder="1" applyAlignment="1">
      <alignment horizontal="center" vertical="center"/>
    </xf>
    <xf numFmtId="0" fontId="6" fillId="0" borderId="0" xfId="0" applyFont="1"/>
    <xf numFmtId="164" fontId="6" fillId="0" borderId="17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9" fontId="0" fillId="0" borderId="18" xfId="1" applyFont="1" applyBorder="1" applyAlignment="1">
      <alignment horizontal="center" vertical="center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9" fontId="9" fillId="0" borderId="1" xfId="1" applyFont="1" applyFill="1" applyBorder="1" applyAlignment="1">
      <alignment horizontal="center" vertical="center"/>
    </xf>
    <xf numFmtId="9" fontId="9" fillId="0" borderId="1" xfId="1" applyFont="1" applyFill="1" applyBorder="1" applyAlignment="1">
      <alignment horizontal="center" vertical="center" wrapText="1"/>
    </xf>
    <xf numFmtId="9" fontId="9" fillId="0" borderId="1" xfId="1" applyFont="1" applyFill="1" applyBorder="1" applyAlignment="1">
      <alignment vertical="center" wrapText="1"/>
    </xf>
    <xf numFmtId="16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6" fontId="0" fillId="0" borderId="1" xfId="0" applyNumberFormat="1" applyBorder="1" applyAlignment="1">
      <alignment horizontal="center"/>
    </xf>
    <xf numFmtId="0" fontId="10" fillId="0" borderId="0" xfId="0" applyFont="1" applyAlignment="1">
      <alignment vertical="center" wrapText="1"/>
    </xf>
    <xf numFmtId="2" fontId="5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/>
    <xf numFmtId="0" fontId="0" fillId="4" borderId="1" xfId="0" applyFill="1" applyBorder="1"/>
    <xf numFmtId="10" fontId="0" fillId="0" borderId="0" xfId="1" applyNumberFormat="1" applyFont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164" fontId="0" fillId="0" borderId="3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64" fontId="4" fillId="0" borderId="0" xfId="0" applyNumberFormat="1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6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9" fontId="0" fillId="0" borderId="1" xfId="1" applyFont="1" applyBorder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4" fontId="0" fillId="0" borderId="1" xfId="0" applyNumberForma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9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9" fontId="0" fillId="0" borderId="0" xfId="1" applyFont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4" fontId="0" fillId="0" borderId="0" xfId="0" applyNumberFormat="1" applyAlignment="1">
      <alignment horizontal="left" vertical="top"/>
    </xf>
    <xf numFmtId="164" fontId="0" fillId="0" borderId="0" xfId="0" applyNumberFormat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 applyAlignment="1">
      <alignment horizontal="left" wrapText="1"/>
    </xf>
    <xf numFmtId="0" fontId="6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9" fontId="0" fillId="0" borderId="0" xfId="1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9" fontId="0" fillId="0" borderId="1" xfId="1" applyFont="1" applyFill="1" applyBorder="1" applyAlignment="1">
      <alignment horizontal="center" vertical="center"/>
    </xf>
    <xf numFmtId="9" fontId="0" fillId="0" borderId="1" xfId="1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10" fillId="4" borderId="1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9" fontId="0" fillId="0" borderId="1" xfId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12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 readingOrder="1"/>
    </xf>
    <xf numFmtId="0" fontId="14" fillId="0" borderId="1" xfId="0" applyFont="1" applyBorder="1" applyAlignment="1">
      <alignment horizontal="right" vertical="center" wrapText="1" readingOrder="1"/>
    </xf>
    <xf numFmtId="0" fontId="15" fillId="0" borderId="0" xfId="0" applyFont="1" applyAlignment="1">
      <alignment vertical="center" wrapText="1" readingOrder="1"/>
    </xf>
    <xf numFmtId="0" fontId="16" fillId="0" borderId="1" xfId="0" applyFont="1" applyBorder="1" applyAlignment="1">
      <alignment vertical="center" wrapText="1" readingOrder="1"/>
    </xf>
    <xf numFmtId="167" fontId="16" fillId="0" borderId="1" xfId="0" applyNumberFormat="1" applyFont="1" applyBorder="1" applyAlignment="1">
      <alignment vertical="center" wrapText="1" readingOrder="1"/>
    </xf>
    <xf numFmtId="0" fontId="16" fillId="0" borderId="0" xfId="0" applyFont="1" applyAlignment="1">
      <alignment vertical="center" wrapText="1" readingOrder="1"/>
    </xf>
    <xf numFmtId="167" fontId="16" fillId="0" borderId="0" xfId="0" applyNumberFormat="1" applyFont="1" applyAlignment="1">
      <alignment vertical="center" wrapText="1" readingOrder="1"/>
    </xf>
    <xf numFmtId="164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64" fontId="0" fillId="0" borderId="34" xfId="0" applyNumberForma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0" fillId="2" borderId="1" xfId="0" applyFill="1" applyBorder="1"/>
    <xf numFmtId="0" fontId="0" fillId="2" borderId="7" xfId="0" applyFill="1" applyBorder="1"/>
    <xf numFmtId="166" fontId="0" fillId="0" borderId="7" xfId="0" applyNumberForma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1" applyNumberFormat="1" applyFont="1" applyBorder="1" applyAlignment="1">
      <alignment horizontal="center" vertical="center"/>
    </xf>
    <xf numFmtId="166" fontId="9" fillId="0" borderId="2" xfId="1" applyNumberFormat="1" applyFont="1" applyBorder="1" applyAlignment="1">
      <alignment horizontal="center" vertical="center"/>
    </xf>
    <xf numFmtId="166" fontId="0" fillId="0" borderId="40" xfId="0" applyNumberFormat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164" fontId="0" fillId="0" borderId="35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166" fontId="9" fillId="0" borderId="9" xfId="1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166" fontId="9" fillId="0" borderId="15" xfId="1" applyNumberFormat="1" applyFont="1" applyFill="1" applyBorder="1" applyAlignment="1">
      <alignment horizontal="center" vertical="center" wrapText="1"/>
    </xf>
    <xf numFmtId="166" fontId="0" fillId="0" borderId="46" xfId="0" applyNumberFormat="1" applyBorder="1" applyAlignment="1">
      <alignment horizontal="center" vertical="center"/>
    </xf>
    <xf numFmtId="166" fontId="0" fillId="0" borderId="9" xfId="1" applyNumberFormat="1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 vertical="center"/>
    </xf>
    <xf numFmtId="10" fontId="0" fillId="0" borderId="1" xfId="1" applyNumberFormat="1" applyFont="1" applyFill="1" applyBorder="1"/>
    <xf numFmtId="164" fontId="9" fillId="0" borderId="8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166" fontId="9" fillId="0" borderId="7" xfId="1" applyNumberFormat="1" applyFont="1" applyBorder="1" applyAlignment="1">
      <alignment horizontal="center" vertical="center"/>
    </xf>
    <xf numFmtId="166" fontId="9" fillId="0" borderId="10" xfId="1" applyNumberFormat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 wrapText="1"/>
    </xf>
    <xf numFmtId="0" fontId="0" fillId="0" borderId="16" xfId="0" applyBorder="1"/>
    <xf numFmtId="164" fontId="0" fillId="0" borderId="31" xfId="0" applyNumberForma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17" fillId="0" borderId="1" xfId="0" applyFont="1" applyBorder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0" xfId="0" applyNumberFormat="1"/>
    <xf numFmtId="0" fontId="10" fillId="0" borderId="1" xfId="0" applyFont="1" applyBorder="1" applyAlignment="1">
      <alignment horizontal="justify" vertical="center" wrapText="1"/>
    </xf>
    <xf numFmtId="166" fontId="0" fillId="0" borderId="1" xfId="1" applyNumberFormat="1" applyFont="1" applyFill="1" applyBorder="1" applyAlignment="1">
      <alignment horizontal="center" wrapText="1"/>
    </xf>
    <xf numFmtId="166" fontId="0" fillId="5" borderId="1" xfId="1" applyNumberFormat="1" applyFont="1" applyFill="1" applyBorder="1" applyAlignment="1">
      <alignment horizontal="center" wrapText="1"/>
    </xf>
    <xf numFmtId="166" fontId="0" fillId="0" borderId="0" xfId="0" applyNumberFormat="1" applyAlignment="1">
      <alignment wrapText="1"/>
    </xf>
    <xf numFmtId="166" fontId="0" fillId="0" borderId="1" xfId="0" applyNumberFormat="1" applyBorder="1" applyAlignment="1">
      <alignment horizontal="center" wrapText="1"/>
    </xf>
    <xf numFmtId="166" fontId="0" fillId="5" borderId="1" xfId="0" applyNumberFormat="1" applyFill="1" applyBorder="1" applyAlignment="1">
      <alignment horizontal="center" wrapText="1"/>
    </xf>
    <xf numFmtId="0" fontId="18" fillId="0" borderId="1" xfId="0" applyFont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left" wrapText="1"/>
    </xf>
    <xf numFmtId="10" fontId="0" fillId="0" borderId="1" xfId="1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left" vertical="center" wrapText="1"/>
    </xf>
    <xf numFmtId="0" fontId="13" fillId="0" borderId="0" xfId="2"/>
    <xf numFmtId="0" fontId="0" fillId="0" borderId="1" xfId="0" applyBorder="1"/>
    <xf numFmtId="9" fontId="0" fillId="4" borderId="1" xfId="1" applyFont="1" applyFill="1" applyBorder="1" applyAlignment="1">
      <alignment horizontal="center" vertical="center"/>
    </xf>
    <xf numFmtId="0" fontId="13" fillId="0" borderId="0" xfId="2" applyFill="1"/>
    <xf numFmtId="9" fontId="0" fillId="0" borderId="1" xfId="1" applyFont="1" applyFill="1" applyBorder="1" applyAlignment="1">
      <alignment horizontal="center"/>
    </xf>
    <xf numFmtId="166" fontId="0" fillId="0" borderId="0" xfId="0" applyNumberFormat="1"/>
    <xf numFmtId="9" fontId="14" fillId="0" borderId="1" xfId="1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 readingOrder="1"/>
    </xf>
    <xf numFmtId="0" fontId="18" fillId="0" borderId="1" xfId="0" applyFont="1" applyBorder="1" applyAlignment="1">
      <alignment horizontal="center" vertical="center" wrapText="1" readingOrder="1"/>
    </xf>
    <xf numFmtId="0" fontId="18" fillId="0" borderId="0" xfId="0" applyFont="1" applyAlignment="1">
      <alignment vertical="center" wrapText="1" readingOrder="1"/>
    </xf>
    <xf numFmtId="167" fontId="18" fillId="0" borderId="1" xfId="0" applyNumberFormat="1" applyFont="1" applyBorder="1" applyAlignment="1">
      <alignment horizontal="center" vertical="center" wrapText="1" readingOrder="1"/>
    </xf>
    <xf numFmtId="9" fontId="18" fillId="0" borderId="1" xfId="1" applyFont="1" applyFill="1" applyBorder="1" applyAlignment="1">
      <alignment horizontal="center" vertical="center" wrapText="1" readingOrder="1"/>
    </xf>
    <xf numFmtId="167" fontId="18" fillId="0" borderId="0" xfId="0" applyNumberFormat="1" applyFont="1" applyAlignment="1">
      <alignment vertical="center" wrapText="1" readingOrder="1"/>
    </xf>
    <xf numFmtId="0" fontId="1" fillId="0" borderId="0" xfId="0" applyFont="1"/>
    <xf numFmtId="164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left" vertical="top"/>
    </xf>
    <xf numFmtId="164" fontId="1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3" fillId="0" borderId="0" xfId="2" applyAlignment="1">
      <alignment horizontal="center" vertical="center"/>
    </xf>
    <xf numFmtId="164" fontId="13" fillId="0" borderId="0" xfId="2" applyNumberFormat="1" applyAlignment="1">
      <alignment horizontal="center"/>
    </xf>
    <xf numFmtId="0" fontId="0" fillId="3" borderId="1" xfId="0" applyFill="1" applyBorder="1"/>
    <xf numFmtId="165" fontId="0" fillId="3" borderId="1" xfId="0" applyNumberFormat="1" applyFill="1" applyBorder="1" applyAlignment="1">
      <alignment horizontal="center" vertical="center" wrapText="1"/>
    </xf>
    <xf numFmtId="10" fontId="0" fillId="3" borderId="1" xfId="0" applyNumberForma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left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 readingOrder="1"/>
    </xf>
    <xf numFmtId="167" fontId="14" fillId="0" borderId="1" xfId="0" applyNumberFormat="1" applyFont="1" applyBorder="1" applyAlignment="1">
      <alignment horizontal="center" vertical="center" wrapText="1" readingOrder="1"/>
    </xf>
    <xf numFmtId="164" fontId="13" fillId="0" borderId="0" xfId="2" applyNumberFormat="1" applyAlignment="1">
      <alignment horizontal="left"/>
    </xf>
    <xf numFmtId="0" fontId="12" fillId="0" borderId="0" xfId="0" applyFont="1" applyAlignment="1">
      <alignment vertical="center" wrapText="1"/>
    </xf>
    <xf numFmtId="9" fontId="0" fillId="0" borderId="1" xfId="1" applyFont="1" applyFill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0" fillId="3" borderId="1" xfId="0" applyNumberFormat="1" applyFill="1" applyBorder="1" applyAlignment="1">
      <alignment horizontal="center" vertical="center"/>
    </xf>
    <xf numFmtId="10" fontId="0" fillId="3" borderId="1" xfId="0" applyNumberFormat="1" applyFill="1" applyBorder="1" applyAlignment="1">
      <alignment horizontal="center" vertical="center"/>
    </xf>
    <xf numFmtId="0" fontId="7" fillId="0" borderId="40" xfId="0" applyFont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/>
    </xf>
    <xf numFmtId="166" fontId="0" fillId="0" borderId="15" xfId="0" applyNumberFormat="1" applyBorder="1" applyAlignment="1">
      <alignment horizontal="center" vertical="center"/>
    </xf>
    <xf numFmtId="0" fontId="7" fillId="0" borderId="40" xfId="0" applyFont="1" applyBorder="1" applyAlignment="1">
      <alignment horizontal="left" vertical="center" wrapText="1"/>
    </xf>
    <xf numFmtId="166" fontId="0" fillId="0" borderId="40" xfId="1" applyNumberFormat="1" applyFont="1" applyBorder="1" applyAlignment="1">
      <alignment horizontal="center" vertical="center"/>
    </xf>
    <xf numFmtId="166" fontId="0" fillId="0" borderId="46" xfId="1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164" fontId="0" fillId="0" borderId="18" xfId="0" applyNumberFormat="1" applyBorder="1" applyAlignment="1">
      <alignment horizontal="center" vertical="center"/>
    </xf>
    <xf numFmtId="0" fontId="0" fillId="0" borderId="18" xfId="0" quotePrefix="1" applyBorder="1" applyAlignment="1">
      <alignment horizontal="center" vertical="center"/>
    </xf>
    <xf numFmtId="9" fontId="0" fillId="0" borderId="18" xfId="1" applyFont="1" applyBorder="1"/>
    <xf numFmtId="0" fontId="1" fillId="0" borderId="0" xfId="0" applyFont="1" applyAlignment="1">
      <alignment wrapText="1"/>
    </xf>
    <xf numFmtId="10" fontId="22" fillId="0" borderId="1" xfId="0" applyNumberFormat="1" applyFont="1" applyBorder="1"/>
    <xf numFmtId="10" fontId="22" fillId="0" borderId="40" xfId="0" applyNumberFormat="1" applyFont="1" applyBorder="1"/>
    <xf numFmtId="10" fontId="22" fillId="0" borderId="18" xfId="0" applyNumberFormat="1" applyFont="1" applyBorder="1"/>
    <xf numFmtId="10" fontId="22" fillId="0" borderId="52" xfId="0" applyNumberFormat="1" applyFont="1" applyBorder="1"/>
    <xf numFmtId="164" fontId="13" fillId="0" borderId="0" xfId="2" applyNumberForma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42" xfId="0" applyNumberFormat="1" applyBorder="1" applyAlignment="1">
      <alignment horizontal="center" wrapText="1"/>
    </xf>
    <xf numFmtId="164" fontId="0" fillId="0" borderId="18" xfId="0" applyNumberFormat="1" applyBorder="1" applyAlignment="1">
      <alignment horizontal="center" wrapText="1"/>
    </xf>
    <xf numFmtId="0" fontId="0" fillId="4" borderId="2" xfId="0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0" fontId="0" fillId="4" borderId="1" xfId="0" applyFill="1" applyBorder="1" applyAlignment="1">
      <alignment horizontal="right" vertic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64" fontId="0" fillId="0" borderId="49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 indent="2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 indent="1"/>
    </xf>
    <xf numFmtId="0" fontId="10" fillId="0" borderId="1" xfId="0" applyFont="1" applyBorder="1" applyAlignment="1">
      <alignment horizontal="left" vertical="center" wrapText="1" indent="2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9" fontId="9" fillId="4" borderId="1" xfId="1" applyFont="1" applyFill="1" applyBorder="1" applyAlignment="1">
      <alignment horizontal="center" vertical="center"/>
    </xf>
    <xf numFmtId="9" fontId="9" fillId="4" borderId="1" xfId="1" applyFont="1" applyFill="1" applyBorder="1" applyAlignment="1">
      <alignment horizontal="center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15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center" vertical="center" wrapText="1"/>
    </xf>
    <xf numFmtId="9" fontId="0" fillId="0" borderId="2" xfId="1" applyFont="1" applyBorder="1" applyAlignment="1">
      <alignment horizontal="center" vertical="center"/>
    </xf>
    <xf numFmtId="9" fontId="0" fillId="0" borderId="39" xfId="1" applyFont="1" applyBorder="1" applyAlignment="1">
      <alignment horizontal="center" vertical="center"/>
    </xf>
    <xf numFmtId="9" fontId="0" fillId="0" borderId="40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0" fillId="0" borderId="4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15" fontId="0" fillId="0" borderId="2" xfId="0" applyNumberFormat="1" applyBorder="1" applyAlignment="1">
      <alignment horizontal="center" vertical="center"/>
    </xf>
    <xf numFmtId="15" fontId="0" fillId="0" borderId="39" xfId="0" applyNumberFormat="1" applyBorder="1" applyAlignment="1">
      <alignment horizontal="center" vertical="center"/>
    </xf>
    <xf numFmtId="15" fontId="0" fillId="0" borderId="40" xfId="0" applyNumberFormat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32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0" fontId="6" fillId="4" borderId="16" xfId="0" applyFont="1" applyFill="1" applyBorder="1" applyAlignment="1">
      <alignment horizontal="center"/>
    </xf>
    <xf numFmtId="0" fontId="6" fillId="4" borderId="49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47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48" xfId="0" applyFont="1" applyFill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/>
    </xf>
    <xf numFmtId="164" fontId="6" fillId="0" borderId="4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</cellXfs>
  <cellStyles count="3">
    <cellStyle name="Hyperlink" xfId="2" builtinId="8"/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7665F1-9ED9-4B10-8EEC-0D3FB3AA80B7}">
  <dimension ref="A1:K59"/>
  <sheetViews>
    <sheetView showGridLines="0" tabSelected="1" workbookViewId="0">
      <selection activeCell="E8" sqref="E8"/>
    </sheetView>
  </sheetViews>
  <sheetFormatPr defaultRowHeight="14.5" x14ac:dyDescent="0.35"/>
  <cols>
    <col min="2" max="2" width="81.1796875" customWidth="1"/>
    <col min="3" max="4" width="0.81640625" customWidth="1"/>
    <col min="5" max="5" width="66.7265625" customWidth="1"/>
    <col min="7" max="7" width="35.81640625" customWidth="1"/>
  </cols>
  <sheetData>
    <row r="1" spans="1:11" x14ac:dyDescent="0.35">
      <c r="A1" s="286" t="s"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</row>
    <row r="2" spans="1:11" x14ac:dyDescent="0.35">
      <c r="A2" s="297" t="s">
        <v>1</v>
      </c>
      <c r="B2" s="296" t="s">
        <v>2</v>
      </c>
      <c r="C2" s="296"/>
      <c r="D2" s="296"/>
      <c r="E2" s="296"/>
      <c r="F2" s="296"/>
      <c r="G2" s="296"/>
      <c r="H2" s="296"/>
      <c r="I2" s="296"/>
      <c r="J2" s="296"/>
      <c r="K2" s="296"/>
    </row>
    <row r="3" spans="1:11" x14ac:dyDescent="0.35">
      <c r="A3" s="297" t="s">
        <v>3</v>
      </c>
      <c r="B3" s="298" t="s">
        <v>4</v>
      </c>
      <c r="C3" s="299"/>
      <c r="D3" s="300"/>
      <c r="E3" s="296"/>
      <c r="F3" s="296"/>
      <c r="G3" s="296"/>
      <c r="H3" s="296"/>
      <c r="I3" s="296"/>
      <c r="J3" s="296"/>
      <c r="K3" s="296"/>
    </row>
    <row r="4" spans="1:11" x14ac:dyDescent="0.35">
      <c r="A4" s="297" t="s">
        <v>5</v>
      </c>
      <c r="B4" s="298" t="s">
        <v>6</v>
      </c>
      <c r="C4" s="299"/>
      <c r="D4" s="300"/>
      <c r="E4" s="296"/>
      <c r="F4" s="296"/>
      <c r="G4" s="296"/>
      <c r="H4" s="296"/>
      <c r="I4" s="296"/>
      <c r="J4" s="296"/>
      <c r="K4" s="296"/>
    </row>
    <row r="5" spans="1:11" x14ac:dyDescent="0.35">
      <c r="A5" s="297" t="s">
        <v>7</v>
      </c>
      <c r="B5" s="301" t="s">
        <v>8</v>
      </c>
      <c r="C5" s="300"/>
      <c r="D5" s="300"/>
      <c r="E5" s="296"/>
      <c r="F5" s="296"/>
      <c r="G5" s="296"/>
      <c r="H5" s="296"/>
      <c r="I5" s="296"/>
      <c r="J5" s="296"/>
      <c r="K5" s="296"/>
    </row>
    <row r="6" spans="1:11" x14ac:dyDescent="0.35">
      <c r="A6" s="297" t="s">
        <v>9</v>
      </c>
      <c r="B6" s="302" t="s">
        <v>10</v>
      </c>
      <c r="C6" s="300"/>
      <c r="D6" s="296"/>
      <c r="E6" s="296"/>
      <c r="F6" s="296"/>
      <c r="G6" s="296"/>
      <c r="H6" s="296"/>
      <c r="I6" s="296"/>
      <c r="J6" s="296"/>
      <c r="K6" s="296"/>
    </row>
    <row r="7" spans="1:11" x14ac:dyDescent="0.35">
      <c r="A7" s="297" t="s">
        <v>11</v>
      </c>
      <c r="B7" s="302" t="s">
        <v>12</v>
      </c>
      <c r="C7" s="300"/>
      <c r="D7" s="296"/>
      <c r="E7" s="296"/>
      <c r="F7" s="296"/>
      <c r="G7" s="296"/>
      <c r="H7" s="296"/>
      <c r="I7" s="296"/>
      <c r="J7" s="296"/>
      <c r="K7" s="296"/>
    </row>
    <row r="8" spans="1:11" x14ac:dyDescent="0.35">
      <c r="A8" s="347" t="s">
        <v>13</v>
      </c>
      <c r="B8" s="296"/>
      <c r="C8" s="296"/>
      <c r="D8" s="296"/>
      <c r="E8" s="296"/>
      <c r="F8" s="296"/>
      <c r="G8" s="296"/>
      <c r="H8" s="296"/>
      <c r="I8" s="296"/>
      <c r="J8" s="296"/>
      <c r="K8" s="296"/>
    </row>
    <row r="9" spans="1:11" x14ac:dyDescent="0.35">
      <c r="A9" s="303" t="s">
        <v>14</v>
      </c>
      <c r="B9" s="296" t="s">
        <v>15</v>
      </c>
      <c r="C9" s="296"/>
      <c r="D9" s="296"/>
      <c r="E9" s="296"/>
      <c r="F9" s="296"/>
      <c r="G9" s="296"/>
      <c r="H9" s="296"/>
      <c r="I9" s="296"/>
      <c r="J9" s="296"/>
      <c r="K9" s="296"/>
    </row>
    <row r="10" spans="1:11" x14ac:dyDescent="0.35">
      <c r="A10" s="303" t="s">
        <v>16</v>
      </c>
      <c r="B10" s="296" t="s">
        <v>17</v>
      </c>
      <c r="C10" s="296"/>
      <c r="D10" s="296"/>
      <c r="E10" s="296"/>
      <c r="F10" s="296"/>
      <c r="G10" s="296"/>
      <c r="H10" s="296"/>
      <c r="I10" s="296"/>
      <c r="J10" s="296"/>
      <c r="K10" s="296"/>
    </row>
    <row r="11" spans="1:11" x14ac:dyDescent="0.35">
      <c r="A11" s="303" t="s">
        <v>18</v>
      </c>
      <c r="B11" s="296" t="s">
        <v>19</v>
      </c>
      <c r="C11" s="296"/>
      <c r="D11" s="296"/>
      <c r="E11" s="296"/>
      <c r="F11" s="296"/>
      <c r="G11" s="296"/>
      <c r="H11" s="296"/>
      <c r="I11" s="296"/>
      <c r="J11" s="296"/>
      <c r="K11" s="296"/>
    </row>
    <row r="12" spans="1:11" x14ac:dyDescent="0.35">
      <c r="A12" s="303" t="s">
        <v>20</v>
      </c>
      <c r="B12" t="s">
        <v>21</v>
      </c>
      <c r="E12" s="296"/>
      <c r="F12" s="296"/>
      <c r="G12" s="296"/>
      <c r="H12" s="296"/>
      <c r="I12" s="296"/>
      <c r="J12" s="296"/>
      <c r="K12" s="296"/>
    </row>
    <row r="13" spans="1:11" x14ac:dyDescent="0.35">
      <c r="A13" s="304" t="s">
        <v>22</v>
      </c>
      <c r="B13" s="296" t="s">
        <v>23</v>
      </c>
      <c r="C13" s="296"/>
      <c r="D13" s="296"/>
      <c r="E13" s="296"/>
      <c r="F13" s="296"/>
      <c r="G13" s="296"/>
      <c r="H13" s="296"/>
      <c r="I13" s="296"/>
      <c r="J13" s="296"/>
      <c r="K13" s="296"/>
    </row>
    <row r="14" spans="1:11" x14ac:dyDescent="0.35">
      <c r="A14" s="304" t="s">
        <v>24</v>
      </c>
      <c r="B14" s="296" t="s">
        <v>25</v>
      </c>
      <c r="C14" s="296"/>
      <c r="D14" s="296"/>
      <c r="E14" s="296"/>
      <c r="F14" s="296"/>
      <c r="G14" s="296"/>
      <c r="H14" s="296"/>
      <c r="I14" s="296"/>
      <c r="J14" s="296"/>
      <c r="K14" s="296"/>
    </row>
    <row r="15" spans="1:11" x14ac:dyDescent="0.35">
      <c r="A15" s="304" t="s">
        <v>26</v>
      </c>
      <c r="B15" s="296" t="s">
        <v>27</v>
      </c>
      <c r="C15" s="296"/>
      <c r="D15" s="296"/>
      <c r="E15" s="296"/>
      <c r="F15" s="296"/>
      <c r="G15" s="296"/>
      <c r="H15" s="296"/>
      <c r="I15" s="296"/>
      <c r="J15" s="296"/>
      <c r="K15" s="296"/>
    </row>
    <row r="16" spans="1:11" x14ac:dyDescent="0.35">
      <c r="A16" s="300" t="s">
        <v>28</v>
      </c>
      <c r="B16" s="296" t="s">
        <v>29</v>
      </c>
      <c r="C16" s="296"/>
      <c r="D16" s="296"/>
      <c r="E16" s="296"/>
      <c r="F16" s="296"/>
      <c r="G16" s="296"/>
      <c r="H16" s="296"/>
      <c r="I16" s="296"/>
      <c r="J16" s="296"/>
      <c r="K16" s="296"/>
    </row>
    <row r="17" spans="1:11" x14ac:dyDescent="0.35">
      <c r="A17" s="286" t="s">
        <v>30</v>
      </c>
      <c r="B17" s="296"/>
      <c r="C17" s="296"/>
      <c r="D17" s="296"/>
      <c r="E17" s="296"/>
      <c r="F17" s="296"/>
      <c r="G17" s="296"/>
      <c r="H17" s="296"/>
      <c r="I17" s="296"/>
      <c r="J17" s="296"/>
      <c r="K17" s="296"/>
    </row>
    <row r="18" spans="1:11" x14ac:dyDescent="0.35">
      <c r="A18" s="305" t="s">
        <v>31</v>
      </c>
      <c r="B18" s="296" t="s">
        <v>32</v>
      </c>
      <c r="C18" s="296"/>
      <c r="D18" s="296"/>
      <c r="E18" s="296"/>
      <c r="F18" s="296"/>
      <c r="G18" s="296"/>
      <c r="H18" s="296"/>
      <c r="I18" s="296"/>
      <c r="J18" s="296"/>
      <c r="K18" s="296"/>
    </row>
    <row r="19" spans="1:11" x14ac:dyDescent="0.35">
      <c r="A19" s="303" t="s">
        <v>33</v>
      </c>
      <c r="B19" s="296" t="s">
        <v>34</v>
      </c>
      <c r="C19" s="296"/>
      <c r="D19" s="296"/>
      <c r="E19" s="296"/>
      <c r="F19" s="296"/>
      <c r="G19" s="296"/>
      <c r="H19" s="296"/>
      <c r="I19" s="296"/>
      <c r="J19" s="296"/>
      <c r="K19" s="296"/>
    </row>
    <row r="20" spans="1:11" x14ac:dyDescent="0.35">
      <c r="A20" s="304" t="s">
        <v>35</v>
      </c>
      <c r="B20" s="296" t="s">
        <v>36</v>
      </c>
      <c r="C20" s="304"/>
      <c r="D20" s="304"/>
      <c r="E20" s="296"/>
      <c r="F20" s="296"/>
      <c r="G20" s="296"/>
      <c r="H20" s="296"/>
      <c r="I20" s="296"/>
      <c r="J20" s="296"/>
      <c r="K20" s="296"/>
    </row>
    <row r="21" spans="1:11" x14ac:dyDescent="0.35">
      <c r="A21" s="304" t="s">
        <v>37</v>
      </c>
      <c r="B21" s="296" t="s">
        <v>38</v>
      </c>
      <c r="C21" s="296"/>
      <c r="D21" s="296"/>
      <c r="E21" s="296"/>
      <c r="F21" s="296"/>
      <c r="G21" s="296"/>
      <c r="H21" s="296"/>
      <c r="I21" s="296"/>
      <c r="J21" s="296"/>
      <c r="K21" s="296"/>
    </row>
    <row r="22" spans="1:11" x14ac:dyDescent="0.35">
      <c r="A22" s="304" t="s">
        <v>39</v>
      </c>
      <c r="B22" s="296" t="s">
        <v>40</v>
      </c>
      <c r="C22" s="296"/>
      <c r="D22" s="296"/>
      <c r="E22" s="296"/>
      <c r="F22" s="296"/>
      <c r="G22" s="296"/>
      <c r="H22" s="296"/>
      <c r="I22" s="296"/>
      <c r="J22" s="296"/>
      <c r="K22" s="296"/>
    </row>
    <row r="23" spans="1:11" x14ac:dyDescent="0.35">
      <c r="A23" s="258" t="s">
        <v>41</v>
      </c>
      <c r="B23" s="296" t="s">
        <v>42</v>
      </c>
      <c r="C23" s="296"/>
      <c r="D23" s="296"/>
      <c r="E23" s="296"/>
      <c r="F23" s="296"/>
      <c r="G23" s="296"/>
      <c r="H23" s="296"/>
      <c r="I23" s="296"/>
      <c r="J23" s="296"/>
      <c r="K23" s="296"/>
    </row>
    <row r="24" spans="1:11" x14ac:dyDescent="0.35">
      <c r="A24" s="306" t="s">
        <v>43</v>
      </c>
      <c r="B24" s="296"/>
      <c r="C24" s="296"/>
      <c r="D24" s="296"/>
      <c r="E24" s="296"/>
      <c r="F24" s="296"/>
      <c r="G24" s="296"/>
      <c r="H24" s="296"/>
      <c r="I24" s="296"/>
      <c r="J24" s="296"/>
      <c r="K24" s="296"/>
    </row>
    <row r="25" spans="1:11" x14ac:dyDescent="0.35">
      <c r="A25" s="303" t="s">
        <v>44</v>
      </c>
      <c r="B25" s="296" t="s">
        <v>45</v>
      </c>
      <c r="C25" s="296"/>
      <c r="D25" s="296"/>
      <c r="E25" s="296"/>
      <c r="F25" s="296"/>
      <c r="G25" s="296"/>
      <c r="H25" s="296"/>
      <c r="I25" s="296"/>
      <c r="J25" s="296"/>
      <c r="K25" s="296"/>
    </row>
    <row r="26" spans="1:11" x14ac:dyDescent="0.35">
      <c r="A26" s="303" t="s">
        <v>46</v>
      </c>
      <c r="B26" s="296" t="s">
        <v>47</v>
      </c>
      <c r="C26" s="296"/>
      <c r="D26" s="296"/>
      <c r="E26" s="296"/>
      <c r="F26" s="296"/>
      <c r="G26" s="296"/>
      <c r="H26" s="296"/>
      <c r="I26" s="296"/>
      <c r="J26" s="296"/>
      <c r="K26" s="296"/>
    </row>
    <row r="27" spans="1:11" x14ac:dyDescent="0.35">
      <c r="A27" s="303" t="s">
        <v>48</v>
      </c>
      <c r="B27" s="296" t="s">
        <v>49</v>
      </c>
      <c r="C27" s="296"/>
      <c r="D27" s="296"/>
      <c r="E27" s="296"/>
      <c r="F27" s="296"/>
      <c r="G27" s="296"/>
      <c r="H27" s="296"/>
      <c r="I27" s="296"/>
      <c r="J27" s="296"/>
      <c r="K27" s="296"/>
    </row>
    <row r="28" spans="1:11" x14ac:dyDescent="0.35">
      <c r="A28" s="303" t="s">
        <v>50</v>
      </c>
      <c r="B28" s="296" t="s">
        <v>51</v>
      </c>
      <c r="C28" s="296"/>
      <c r="D28" s="296"/>
      <c r="E28" s="296"/>
      <c r="F28" s="296"/>
      <c r="G28" s="296"/>
      <c r="H28" s="296"/>
      <c r="I28" s="296"/>
      <c r="J28" s="296"/>
      <c r="K28" s="296"/>
    </row>
    <row r="29" spans="1:11" x14ac:dyDescent="0.35">
      <c r="A29" s="303" t="s">
        <v>52</v>
      </c>
      <c r="B29" s="296" t="s">
        <v>53</v>
      </c>
      <c r="C29" s="296"/>
      <c r="D29" s="296"/>
      <c r="E29" s="296"/>
      <c r="F29" s="296"/>
      <c r="G29" s="296"/>
      <c r="H29" s="296"/>
      <c r="I29" s="296"/>
      <c r="J29" s="296"/>
      <c r="K29" s="296"/>
    </row>
    <row r="30" spans="1:11" x14ac:dyDescent="0.35">
      <c r="A30" s="303" t="s">
        <v>54</v>
      </c>
      <c r="B30" s="296" t="s">
        <v>55</v>
      </c>
      <c r="C30" s="296"/>
      <c r="D30" s="296"/>
      <c r="E30" s="296"/>
      <c r="F30" s="296"/>
      <c r="G30" s="296"/>
      <c r="H30" s="296"/>
      <c r="I30" s="296"/>
      <c r="J30" s="296"/>
      <c r="K30" s="296"/>
    </row>
    <row r="31" spans="1:11" x14ac:dyDescent="0.35">
      <c r="A31" s="304" t="s">
        <v>56</v>
      </c>
      <c r="B31" s="342" t="s">
        <v>57</v>
      </c>
      <c r="C31" s="342"/>
      <c r="D31" s="342"/>
      <c r="E31" s="342"/>
      <c r="F31" s="342"/>
      <c r="G31" s="342"/>
      <c r="H31" s="296"/>
      <c r="I31" s="296"/>
      <c r="J31" s="296"/>
      <c r="K31" s="296"/>
    </row>
    <row r="32" spans="1:11" x14ac:dyDescent="0.35">
      <c r="A32" s="307" t="s">
        <v>58</v>
      </c>
      <c r="B32" s="296"/>
      <c r="C32" s="296"/>
      <c r="D32" s="296"/>
      <c r="E32" s="296"/>
      <c r="F32" s="296"/>
      <c r="G32" s="296"/>
      <c r="H32" s="296"/>
      <c r="I32" s="296"/>
      <c r="J32" s="296"/>
      <c r="K32" s="296"/>
    </row>
    <row r="33" spans="1:11" x14ac:dyDescent="0.35">
      <c r="A33" s="303" t="s">
        <v>59</v>
      </c>
      <c r="B33" s="298" t="s">
        <v>60</v>
      </c>
      <c r="C33" s="300"/>
      <c r="D33" s="296"/>
      <c r="E33" s="296"/>
      <c r="F33" s="296"/>
      <c r="G33" s="296"/>
      <c r="H33" s="296"/>
      <c r="I33" s="296"/>
      <c r="J33" s="296"/>
      <c r="K33" s="296"/>
    </row>
    <row r="34" spans="1:11" x14ac:dyDescent="0.35">
      <c r="A34" s="303" t="s">
        <v>61</v>
      </c>
      <c r="B34" s="298" t="s">
        <v>62</v>
      </c>
      <c r="C34" s="296"/>
      <c r="D34" s="296"/>
      <c r="E34" s="296"/>
      <c r="F34" s="296"/>
      <c r="G34" s="296"/>
      <c r="H34" s="296"/>
      <c r="I34" s="296"/>
      <c r="J34" s="296"/>
      <c r="K34" s="296"/>
    </row>
    <row r="35" spans="1:11" x14ac:dyDescent="0.35">
      <c r="A35" s="303" t="s">
        <v>63</v>
      </c>
      <c r="B35" s="298" t="s">
        <v>64</v>
      </c>
      <c r="C35" s="296"/>
      <c r="D35" s="296"/>
      <c r="E35" s="296"/>
      <c r="F35" s="296"/>
      <c r="G35" s="296"/>
      <c r="H35" s="296"/>
      <c r="I35" s="296"/>
      <c r="J35" s="296"/>
      <c r="K35" s="296"/>
    </row>
    <row r="36" spans="1:11" x14ac:dyDescent="0.35">
      <c r="A36" s="303" t="s">
        <v>65</v>
      </c>
      <c r="B36" s="296" t="s">
        <v>66</v>
      </c>
      <c r="C36" s="296"/>
      <c r="D36" s="296"/>
      <c r="E36" s="296"/>
      <c r="F36" s="296"/>
      <c r="G36" s="296"/>
      <c r="H36" s="296"/>
      <c r="I36" s="296"/>
      <c r="J36" s="296"/>
      <c r="K36" s="296"/>
    </row>
    <row r="37" spans="1:11" x14ac:dyDescent="0.35">
      <c r="A37" s="303" t="s">
        <v>67</v>
      </c>
      <c r="B37" s="296" t="s">
        <v>68</v>
      </c>
      <c r="C37" s="296"/>
      <c r="D37" s="296"/>
      <c r="E37" s="296"/>
      <c r="F37" s="296"/>
      <c r="G37" s="296"/>
      <c r="H37" s="296"/>
      <c r="I37" s="296"/>
      <c r="J37" s="296"/>
      <c r="K37" s="296"/>
    </row>
    <row r="38" spans="1:11" x14ac:dyDescent="0.35">
      <c r="A38" s="1" t="s">
        <v>69</v>
      </c>
      <c r="B38" t="s">
        <v>70</v>
      </c>
    </row>
    <row r="39" spans="1:11" x14ac:dyDescent="0.35">
      <c r="A39" s="1" t="s">
        <v>71</v>
      </c>
      <c r="B39" t="s">
        <v>72</v>
      </c>
    </row>
    <row r="40" spans="1:11" x14ac:dyDescent="0.35">
      <c r="A40" s="43" t="s">
        <v>73</v>
      </c>
      <c r="B40" s="10" t="s">
        <v>74</v>
      </c>
      <c r="C40" s="10"/>
      <c r="D40" s="10"/>
      <c r="E40" s="10"/>
    </row>
    <row r="41" spans="1:11" x14ac:dyDescent="0.35">
      <c r="A41" s="318" t="s">
        <v>75</v>
      </c>
    </row>
    <row r="42" spans="1:11" x14ac:dyDescent="0.35">
      <c r="A42" s="1" t="s">
        <v>76</v>
      </c>
      <c r="B42" s="157" t="s">
        <v>77</v>
      </c>
      <c r="C42" s="157"/>
    </row>
    <row r="43" spans="1:11" x14ac:dyDescent="0.35">
      <c r="A43" s="1" t="s">
        <v>78</v>
      </c>
      <c r="B43" s="171" t="s">
        <v>79</v>
      </c>
      <c r="C43" s="2"/>
    </row>
    <row r="44" spans="1:11" x14ac:dyDescent="0.35">
      <c r="A44" s="1" t="s">
        <v>80</v>
      </c>
      <c r="B44" s="171" t="s">
        <v>81</v>
      </c>
    </row>
    <row r="45" spans="1:11" x14ac:dyDescent="0.35">
      <c r="A45" s="1" t="s">
        <v>82</v>
      </c>
      <c r="B45" s="171" t="s">
        <v>83</v>
      </c>
      <c r="C45" s="2"/>
      <c r="D45" s="11"/>
      <c r="E45" s="11"/>
    </row>
    <row r="46" spans="1:11" x14ac:dyDescent="0.35">
      <c r="A46" s="1" t="s">
        <v>84</v>
      </c>
      <c r="B46" t="s">
        <v>85</v>
      </c>
      <c r="C46" s="11"/>
      <c r="D46" s="11"/>
    </row>
    <row r="47" spans="1:11" x14ac:dyDescent="0.35">
      <c r="A47" s="1" t="s">
        <v>86</v>
      </c>
      <c r="B47" t="s">
        <v>87</v>
      </c>
      <c r="C47" s="11"/>
    </row>
    <row r="48" spans="1:11" x14ac:dyDescent="0.35">
      <c r="A48" s="1" t="s">
        <v>88</v>
      </c>
      <c r="B48" t="s">
        <v>89</v>
      </c>
      <c r="D48" s="11"/>
      <c r="E48" s="11"/>
    </row>
    <row r="49" spans="1:3" x14ac:dyDescent="0.35">
      <c r="A49" s="318" t="s">
        <v>90</v>
      </c>
      <c r="B49" s="283"/>
      <c r="C49" s="283"/>
    </row>
    <row r="50" spans="1:3" x14ac:dyDescent="0.35">
      <c r="A50" s="1" t="s">
        <v>91</v>
      </c>
      <c r="B50" s="157" t="s">
        <v>92</v>
      </c>
      <c r="C50" s="157"/>
    </row>
    <row r="51" spans="1:3" x14ac:dyDescent="0.35">
      <c r="A51" s="1" t="s">
        <v>93</v>
      </c>
      <c r="B51" s="157" t="s">
        <v>94</v>
      </c>
      <c r="C51" s="157"/>
    </row>
    <row r="52" spans="1:3" x14ac:dyDescent="0.35">
      <c r="A52" s="1" t="s">
        <v>95</v>
      </c>
      <c r="B52" s="157" t="s">
        <v>96</v>
      </c>
      <c r="C52" s="157"/>
    </row>
    <row r="53" spans="1:3" x14ac:dyDescent="0.35">
      <c r="A53" s="1" t="s">
        <v>97</v>
      </c>
      <c r="B53" t="s">
        <v>98</v>
      </c>
    </row>
    <row r="54" spans="1:3" x14ac:dyDescent="0.35">
      <c r="A54" s="1" t="s">
        <v>99</v>
      </c>
      <c r="B54" t="s">
        <v>100</v>
      </c>
    </row>
    <row r="55" spans="1:3" x14ac:dyDescent="0.35">
      <c r="A55" s="318" t="s">
        <v>101</v>
      </c>
    </row>
    <row r="56" spans="1:3" x14ac:dyDescent="0.35">
      <c r="A56" s="1" t="s">
        <v>102</v>
      </c>
      <c r="B56" t="s">
        <v>103</v>
      </c>
    </row>
    <row r="57" spans="1:3" x14ac:dyDescent="0.35">
      <c r="A57" s="1" t="s">
        <v>104</v>
      </c>
      <c r="B57" t="s">
        <v>105</v>
      </c>
    </row>
    <row r="58" spans="1:3" x14ac:dyDescent="0.35">
      <c r="A58" s="43" t="s">
        <v>106</v>
      </c>
      <c r="B58" t="s">
        <v>107</v>
      </c>
    </row>
    <row r="59" spans="1:3" x14ac:dyDescent="0.35">
      <c r="A59" s="43" t="s">
        <v>108</v>
      </c>
      <c r="B59" t="s">
        <v>109</v>
      </c>
    </row>
  </sheetData>
  <sheetProtection algorithmName="SHA-512" hashValue="98xfg5b1vpXYM5xTGpFER76vxVdAi/nH8bquKIlFAt4D7zc9tAFS2ax6cM7cTka2YrnO06aOOykpcl5nOPYlGw==" saltValue="2OaYVvxtrws6cQCVCsW/fg==" spinCount="100000" sheet="1" formatCells="0" formatColumns="0" formatRows="0" insertColumns="0" insertRows="0" insertHyperlinks="0" deleteColumns="0" deleteRows="0" sort="0" autoFilter="0" pivotTables="0"/>
  <hyperlinks>
    <hyperlink ref="A8" location="'Age (2)'!A1" display="Age" xr:uid="{0517D14B-2D8D-45B4-A38A-4193A359DB19}"/>
    <hyperlink ref="A17" location="'Sex and Gender ID (3)'!A1" display="Sex and Gender Identity" xr:uid="{5F7859FE-88F8-4706-8E9B-D76BF28292A0}"/>
    <hyperlink ref="A24" location="'Ethnicity (4)'!A1" display="Ethnicity" xr:uid="{75B0B553-7AC3-4615-945F-0060D06A3888}"/>
    <hyperlink ref="A32" location="'Disability (5)'!A1" display="Disability " xr:uid="{ACE6C910-498F-4BFB-AA16-98CDCA4F4105}"/>
    <hyperlink ref="A41" location="'Sexual Orientation (6)'!A1" display="Sexual Orienation" xr:uid="{E8259B28-E119-43B5-9D24-BE8ADC11D8E0}"/>
    <hyperlink ref="A49:C49" location="'Marriage, Civil Partnership (7)'!A1" display="Marriage and Civil Partnerships" xr:uid="{5B59F8F9-224F-439E-A1E1-F1C647A05DF3}"/>
    <hyperlink ref="A55" location="'Religion and Belief (8)'!A1" display="Faith and Belief " xr:uid="{89387D85-2D0B-45C3-9C52-5CF3087A75DB}"/>
    <hyperlink ref="A1" location="'Employee Profile (1)'!A1" display="Employee Profile" xr:uid="{01E9B6F2-78A3-404B-8CFB-F40F0BDFAB1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7D5F4-6F40-4656-AF85-8ECFF1353FA3}">
  <dimension ref="A1:H31"/>
  <sheetViews>
    <sheetView topLeftCell="A8" zoomScale="70" zoomScaleNormal="70" workbookViewId="0">
      <selection activeCell="G21" sqref="G21"/>
    </sheetView>
  </sheetViews>
  <sheetFormatPr defaultRowHeight="14.5" x14ac:dyDescent="0.35"/>
  <cols>
    <col min="1" max="1" width="11.54296875" customWidth="1"/>
    <col min="2" max="2" width="12" customWidth="1"/>
    <col min="3" max="3" width="13.54296875" customWidth="1"/>
  </cols>
  <sheetData>
    <row r="1" spans="1:8" x14ac:dyDescent="0.35">
      <c r="A1" s="6" t="s">
        <v>416</v>
      </c>
    </row>
    <row r="2" spans="1:8" ht="15" thickBot="1" x14ac:dyDescent="0.4"/>
    <row r="3" spans="1:8" ht="37" customHeight="1" x14ac:dyDescent="0.35">
      <c r="A3" s="438" t="s">
        <v>247</v>
      </c>
      <c r="B3" s="440" t="s">
        <v>248</v>
      </c>
      <c r="C3" s="435" t="s">
        <v>185</v>
      </c>
      <c r="D3" s="436"/>
      <c r="E3" s="435" t="s">
        <v>184</v>
      </c>
      <c r="F3" s="437"/>
    </row>
    <row r="4" spans="1:8" ht="15" thickBot="1" x14ac:dyDescent="0.4">
      <c r="A4" s="439"/>
      <c r="B4" s="441"/>
      <c r="C4" s="106" t="s">
        <v>235</v>
      </c>
      <c r="D4" s="106" t="s">
        <v>122</v>
      </c>
      <c r="E4" s="106" t="s">
        <v>235</v>
      </c>
      <c r="F4" s="107" t="s">
        <v>122</v>
      </c>
    </row>
    <row r="5" spans="1:8" x14ac:dyDescent="0.35">
      <c r="A5" s="103">
        <v>43555</v>
      </c>
      <c r="B5" s="104">
        <v>470</v>
      </c>
      <c r="C5" s="104">
        <v>12</v>
      </c>
      <c r="D5" s="104">
        <v>2.6</v>
      </c>
      <c r="E5" s="104">
        <v>4</v>
      </c>
      <c r="F5" s="105">
        <v>0.9</v>
      </c>
    </row>
    <row r="6" spans="1:8" x14ac:dyDescent="0.35">
      <c r="A6" s="86">
        <v>43921</v>
      </c>
      <c r="B6" s="88">
        <v>463</v>
      </c>
      <c r="C6" s="88">
        <v>7</v>
      </c>
      <c r="D6" s="88">
        <v>1.5</v>
      </c>
      <c r="E6" s="88">
        <v>3</v>
      </c>
      <c r="F6" s="89">
        <v>0.6</v>
      </c>
    </row>
    <row r="7" spans="1:8" x14ac:dyDescent="0.35">
      <c r="A7" s="86">
        <v>44286</v>
      </c>
      <c r="B7" s="88">
        <v>466</v>
      </c>
      <c r="C7" s="88">
        <v>7</v>
      </c>
      <c r="D7" s="88">
        <v>1.5</v>
      </c>
      <c r="E7" s="88">
        <v>5</v>
      </c>
      <c r="F7" s="89">
        <v>1.1000000000000001</v>
      </c>
    </row>
    <row r="8" spans="1:8" x14ac:dyDescent="0.35">
      <c r="A8" s="86">
        <v>44651</v>
      </c>
      <c r="B8" s="88">
        <v>478</v>
      </c>
      <c r="C8" s="88">
        <v>8</v>
      </c>
      <c r="D8" s="88">
        <v>1.7</v>
      </c>
      <c r="E8" s="88">
        <v>8</v>
      </c>
      <c r="F8" s="89">
        <v>1.7</v>
      </c>
    </row>
    <row r="9" spans="1:8" x14ac:dyDescent="0.35">
      <c r="A9" s="86">
        <v>45016</v>
      </c>
      <c r="B9" s="88">
        <v>484</v>
      </c>
      <c r="C9" s="88">
        <v>9</v>
      </c>
      <c r="D9" s="88">
        <v>1.8</v>
      </c>
      <c r="E9" s="88">
        <v>5</v>
      </c>
      <c r="F9" s="89">
        <v>1</v>
      </c>
    </row>
    <row r="10" spans="1:8" x14ac:dyDescent="0.35">
      <c r="A10" s="86">
        <v>45382</v>
      </c>
      <c r="B10" s="88">
        <v>483</v>
      </c>
      <c r="C10" s="4">
        <v>15</v>
      </c>
      <c r="D10" s="4">
        <v>3.1</v>
      </c>
      <c r="E10" s="4">
        <v>4</v>
      </c>
      <c r="F10" s="17">
        <v>0.8</v>
      </c>
    </row>
    <row r="11" spans="1:8" ht="15" thickBot="1" x14ac:dyDescent="0.4">
      <c r="A11" s="87">
        <v>45672</v>
      </c>
      <c r="B11" s="90">
        <v>485</v>
      </c>
      <c r="C11" s="19">
        <v>10</v>
      </c>
      <c r="D11" s="19">
        <v>2.1</v>
      </c>
      <c r="E11" s="19">
        <v>5</v>
      </c>
      <c r="F11" s="20">
        <v>1</v>
      </c>
    </row>
    <row r="13" spans="1:8" ht="15" thickBot="1" x14ac:dyDescent="0.4"/>
    <row r="14" spans="1:8" x14ac:dyDescent="0.35">
      <c r="C14" s="432" t="s">
        <v>197</v>
      </c>
      <c r="D14" s="433"/>
      <c r="E14" s="433"/>
      <c r="F14" s="433"/>
      <c r="G14" s="433"/>
      <c r="H14" s="434"/>
    </row>
    <row r="15" spans="1:8" ht="15" thickBot="1" x14ac:dyDescent="0.4">
      <c r="C15" s="108" t="s">
        <v>187</v>
      </c>
      <c r="D15" s="109" t="s">
        <v>164</v>
      </c>
      <c r="E15" s="109" t="s">
        <v>165</v>
      </c>
      <c r="F15" s="109" t="s">
        <v>166</v>
      </c>
      <c r="G15" s="109" t="s">
        <v>167</v>
      </c>
      <c r="H15" s="110" t="s">
        <v>193</v>
      </c>
    </row>
    <row r="16" spans="1:8" x14ac:dyDescent="0.35">
      <c r="A16" s="442" t="s">
        <v>198</v>
      </c>
      <c r="B16" s="93" t="s">
        <v>199</v>
      </c>
      <c r="C16" s="94">
        <f>1/19</f>
        <v>5.2631578947368418E-2</v>
      </c>
      <c r="D16" s="94">
        <f>2/19</f>
        <v>0.10526315789473684</v>
      </c>
      <c r="E16" s="94">
        <f>6/19</f>
        <v>0.31578947368421051</v>
      </c>
      <c r="F16" s="94">
        <f>3/19</f>
        <v>0.15789473684210525</v>
      </c>
      <c r="G16" s="94">
        <f>2/19</f>
        <v>0.10526315789473684</v>
      </c>
      <c r="H16" s="95">
        <f>0/19</f>
        <v>0</v>
      </c>
    </row>
    <row r="17" spans="1:8" ht="29" x14ac:dyDescent="0.35">
      <c r="A17" s="443"/>
      <c r="B17" s="91" t="s">
        <v>200</v>
      </c>
      <c r="C17" s="92">
        <v>0</v>
      </c>
      <c r="D17" s="92">
        <v>0</v>
      </c>
      <c r="E17" s="92">
        <f>3/19</f>
        <v>0.15789473684210525</v>
      </c>
      <c r="F17" s="92">
        <f>1/19</f>
        <v>5.2631578947368418E-2</v>
      </c>
      <c r="G17" s="92">
        <f>1/19</f>
        <v>5.2631578947368418E-2</v>
      </c>
      <c r="H17" s="96">
        <v>0</v>
      </c>
    </row>
    <row r="18" spans="1:8" ht="15" thickBot="1" x14ac:dyDescent="0.4">
      <c r="A18" s="425" t="s">
        <v>201</v>
      </c>
      <c r="B18" s="426"/>
      <c r="C18" s="100">
        <f>1/19</f>
        <v>5.2631578947368418E-2</v>
      </c>
      <c r="D18" s="100">
        <f>2/19</f>
        <v>0.10526315789473684</v>
      </c>
      <c r="E18" s="100">
        <f>9/19</f>
        <v>0.47368421052631576</v>
      </c>
      <c r="F18" s="100">
        <f>4/19</f>
        <v>0.21052631578947367</v>
      </c>
      <c r="G18" s="100">
        <f>3/19</f>
        <v>0.15789473684210525</v>
      </c>
      <c r="H18" s="101">
        <v>0</v>
      </c>
    </row>
    <row r="19" spans="1:8" ht="15" thickBot="1" x14ac:dyDescent="0.4">
      <c r="A19" s="97"/>
      <c r="B19" s="98"/>
      <c r="C19" s="98"/>
      <c r="D19" s="98"/>
      <c r="E19" s="98"/>
      <c r="F19" s="98"/>
      <c r="G19" s="98"/>
      <c r="H19" s="99"/>
    </row>
    <row r="20" spans="1:8" x14ac:dyDescent="0.35">
      <c r="A20" s="430" t="s">
        <v>202</v>
      </c>
      <c r="B20" s="93" t="s">
        <v>199</v>
      </c>
      <c r="C20" s="94">
        <v>0</v>
      </c>
      <c r="D20" s="94">
        <f>2/15</f>
        <v>0.13333333333333333</v>
      </c>
      <c r="E20" s="94">
        <f>3/15</f>
        <v>0.2</v>
      </c>
      <c r="F20" s="94">
        <f>2/15</f>
        <v>0.13333333333333333</v>
      </c>
      <c r="G20" s="94">
        <f>1/15</f>
        <v>6.6666666666666666E-2</v>
      </c>
      <c r="H20" s="95">
        <f>0/15</f>
        <v>0</v>
      </c>
    </row>
    <row r="21" spans="1:8" ht="29" x14ac:dyDescent="0.35">
      <c r="A21" s="431"/>
      <c r="B21" s="67" t="s">
        <v>200</v>
      </c>
      <c r="C21" s="5">
        <f>0/15</f>
        <v>0</v>
      </c>
      <c r="D21" s="5">
        <v>0</v>
      </c>
      <c r="E21" s="5">
        <f>3/15</f>
        <v>0.2</v>
      </c>
      <c r="F21" s="5">
        <f>3/15</f>
        <v>0.2</v>
      </c>
      <c r="G21" s="5">
        <f>0/15</f>
        <v>0</v>
      </c>
      <c r="H21" s="85">
        <f>1/15</f>
        <v>6.6666666666666666E-2</v>
      </c>
    </row>
    <row r="22" spans="1:8" ht="15" thickBot="1" x14ac:dyDescent="0.4">
      <c r="A22" s="425" t="s">
        <v>203</v>
      </c>
      <c r="B22" s="426"/>
      <c r="C22" s="100">
        <v>0</v>
      </c>
      <c r="D22" s="100">
        <f>2/15</f>
        <v>0.13333333333333333</v>
      </c>
      <c r="E22" s="100">
        <f>6/15</f>
        <v>0.4</v>
      </c>
      <c r="F22" s="100">
        <f>5/15</f>
        <v>0.33333333333333331</v>
      </c>
      <c r="G22" s="100">
        <f>1/15</f>
        <v>6.6666666666666666E-2</v>
      </c>
      <c r="H22" s="101">
        <f>1/15</f>
        <v>6.6666666666666666E-2</v>
      </c>
    </row>
    <row r="24" spans="1:8" x14ac:dyDescent="0.35">
      <c r="A24" t="s">
        <v>159</v>
      </c>
    </row>
    <row r="25" spans="1:8" ht="15" thickBot="1" x14ac:dyDescent="0.4"/>
    <row r="26" spans="1:8" x14ac:dyDescent="0.35">
      <c r="B26" s="427" t="s">
        <v>320</v>
      </c>
      <c r="C26" s="428"/>
      <c r="D26" s="429"/>
      <c r="E26" s="102"/>
      <c r="F26" s="102"/>
      <c r="G26" s="102"/>
    </row>
    <row r="27" spans="1:8" ht="29.5" thickBot="1" x14ac:dyDescent="0.4">
      <c r="A27" s="14"/>
      <c r="B27" s="112" t="s">
        <v>417</v>
      </c>
      <c r="C27" s="113" t="s">
        <v>170</v>
      </c>
      <c r="D27" s="114" t="s">
        <v>418</v>
      </c>
      <c r="F27" s="11"/>
    </row>
    <row r="28" spans="1:8" x14ac:dyDescent="0.35">
      <c r="A28" s="4" t="s">
        <v>198</v>
      </c>
      <c r="B28" s="111">
        <f>2/19</f>
        <v>0.10526315789473684</v>
      </c>
      <c r="C28" s="111">
        <f>D33/19</f>
        <v>0</v>
      </c>
      <c r="D28" s="111">
        <f>4/19</f>
        <v>0.21052631578947367</v>
      </c>
      <c r="F28" s="11"/>
    </row>
    <row r="29" spans="1:8" x14ac:dyDescent="0.35">
      <c r="A29" s="4" t="s">
        <v>202</v>
      </c>
      <c r="B29" s="5">
        <f>1/15</f>
        <v>6.6666666666666666E-2</v>
      </c>
      <c r="C29" s="5">
        <f>7/15</f>
        <v>0.46666666666666667</v>
      </c>
      <c r="D29" s="5">
        <f>7/15</f>
        <v>0.46666666666666667</v>
      </c>
      <c r="F29" s="11"/>
    </row>
    <row r="31" spans="1:8" x14ac:dyDescent="0.35">
      <c r="F31" s="26"/>
    </row>
  </sheetData>
  <mergeCells count="10">
    <mergeCell ref="A22:B22"/>
    <mergeCell ref="B26:D26"/>
    <mergeCell ref="A20:A21"/>
    <mergeCell ref="C14:H14"/>
    <mergeCell ref="C3:D3"/>
    <mergeCell ref="E3:F3"/>
    <mergeCell ref="A3:A4"/>
    <mergeCell ref="A18:B18"/>
    <mergeCell ref="B3:B4"/>
    <mergeCell ref="A16:A17"/>
  </mergeCells>
  <pageMargins left="0.7" right="0.7" top="0.75" bottom="0.75" header="0.3" footer="0.3"/>
  <ignoredErrors>
    <ignoredError sqref="E20 G21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2DA52-CDEC-43FD-8847-6A0B1E7FC64D}">
  <dimension ref="A1:X17"/>
  <sheetViews>
    <sheetView topLeftCell="F1" workbookViewId="0">
      <selection activeCell="S9" sqref="S9"/>
    </sheetView>
  </sheetViews>
  <sheetFormatPr defaultRowHeight="14.5" x14ac:dyDescent="0.35"/>
  <cols>
    <col min="1" max="1" width="17.453125" customWidth="1"/>
    <col min="2" max="2" width="10.453125" customWidth="1"/>
    <col min="3" max="4" width="10.453125" hidden="1" customWidth="1"/>
  </cols>
  <sheetData>
    <row r="1" spans="1:24" x14ac:dyDescent="0.35">
      <c r="A1" s="6" t="s">
        <v>419</v>
      </c>
    </row>
    <row r="2" spans="1:24" ht="15" thickBot="1" x14ac:dyDescent="0.4"/>
    <row r="3" spans="1:24" x14ac:dyDescent="0.35">
      <c r="E3" s="444" t="s">
        <v>195</v>
      </c>
      <c r="F3" s="445"/>
      <c r="G3" s="445"/>
      <c r="H3" s="446"/>
      <c r="I3" s="447" t="s">
        <v>138</v>
      </c>
      <c r="J3" s="448"/>
      <c r="K3" s="448"/>
      <c r="L3" s="449"/>
      <c r="M3" s="447" t="s">
        <v>245</v>
      </c>
      <c r="N3" s="448"/>
      <c r="O3" s="448"/>
      <c r="P3" s="449"/>
      <c r="R3" s="450" t="s">
        <v>420</v>
      </c>
      <c r="S3" s="450"/>
      <c r="T3" s="450"/>
      <c r="U3" s="450"/>
      <c r="V3" s="450"/>
    </row>
    <row r="4" spans="1:24" ht="58" x14ac:dyDescent="0.35">
      <c r="A4" s="8" t="s">
        <v>114</v>
      </c>
      <c r="B4" s="9" t="s">
        <v>137</v>
      </c>
      <c r="C4" s="9" t="s">
        <v>138</v>
      </c>
      <c r="D4" s="9" t="s">
        <v>245</v>
      </c>
      <c r="E4" s="129" t="s">
        <v>184</v>
      </c>
      <c r="F4" s="116" t="s">
        <v>185</v>
      </c>
      <c r="G4" s="116" t="s">
        <v>186</v>
      </c>
      <c r="H4" s="131" t="s">
        <v>246</v>
      </c>
      <c r="I4" s="130" t="s">
        <v>184</v>
      </c>
      <c r="J4" s="116" t="s">
        <v>185</v>
      </c>
      <c r="K4" s="116" t="s">
        <v>186</v>
      </c>
      <c r="L4" s="131" t="s">
        <v>246</v>
      </c>
      <c r="M4" s="130" t="s">
        <v>184</v>
      </c>
      <c r="N4" s="116" t="s">
        <v>185</v>
      </c>
      <c r="O4" s="116" t="s">
        <v>186</v>
      </c>
      <c r="P4" s="131" t="s">
        <v>246</v>
      </c>
      <c r="S4" s="10" t="s">
        <v>184</v>
      </c>
      <c r="T4" s="10" t="str">
        <f>N4</f>
        <v>Female</v>
      </c>
      <c r="U4" s="10" t="str">
        <f>O4</f>
        <v>Other</v>
      </c>
      <c r="V4" s="10" t="str">
        <f>P4</f>
        <v>Prefer not to say / Not stated</v>
      </c>
    </row>
    <row r="5" spans="1:24" x14ac:dyDescent="0.35">
      <c r="A5" s="3">
        <v>44286</v>
      </c>
      <c r="B5" s="4">
        <f>1544+885</f>
        <v>2429</v>
      </c>
      <c r="E5" s="115">
        <v>885</v>
      </c>
      <c r="F5" s="4">
        <v>1544</v>
      </c>
      <c r="G5" s="4">
        <v>0</v>
      </c>
      <c r="H5" s="17">
        <v>0</v>
      </c>
      <c r="I5" s="15">
        <v>64</v>
      </c>
      <c r="J5" s="4">
        <v>92</v>
      </c>
      <c r="K5" s="13">
        <v>0</v>
      </c>
      <c r="L5" s="16">
        <v>0</v>
      </c>
      <c r="M5" s="15">
        <v>12</v>
      </c>
      <c r="N5" s="4">
        <v>19</v>
      </c>
      <c r="O5" s="13">
        <v>0</v>
      </c>
      <c r="P5" s="16">
        <v>0</v>
      </c>
      <c r="R5">
        <f>M5+N5+O5+P5</f>
        <v>31</v>
      </c>
      <c r="S5" s="26">
        <f>M5/R5</f>
        <v>0.38709677419354838</v>
      </c>
      <c r="T5" s="26">
        <f>N5/R5</f>
        <v>0.61290322580645162</v>
      </c>
      <c r="U5" s="26">
        <f>O5/R5</f>
        <v>0</v>
      </c>
      <c r="V5" s="26">
        <f>P5/R5</f>
        <v>0</v>
      </c>
    </row>
    <row r="6" spans="1:24" x14ac:dyDescent="0.35">
      <c r="A6" s="3">
        <v>44651</v>
      </c>
      <c r="B6" s="4">
        <f>321+547+5+79</f>
        <v>952</v>
      </c>
      <c r="E6" s="115">
        <v>321</v>
      </c>
      <c r="F6" s="4">
        <v>547</v>
      </c>
      <c r="G6" s="4">
        <v>5</v>
      </c>
      <c r="H6" s="17">
        <v>79</v>
      </c>
      <c r="I6" s="15">
        <v>61</v>
      </c>
      <c r="J6" s="4">
        <v>98</v>
      </c>
      <c r="K6" s="13">
        <v>0</v>
      </c>
      <c r="L6" s="17">
        <v>37</v>
      </c>
      <c r="M6" s="15">
        <v>19</v>
      </c>
      <c r="N6" s="4">
        <v>30</v>
      </c>
      <c r="O6" s="4">
        <v>0</v>
      </c>
      <c r="P6" s="17">
        <v>10</v>
      </c>
      <c r="R6">
        <f>M6+N6+O6+P6</f>
        <v>59</v>
      </c>
      <c r="S6" s="26">
        <f>M6/R6</f>
        <v>0.32203389830508472</v>
      </c>
      <c r="T6" s="26">
        <f>N6/R6</f>
        <v>0.50847457627118642</v>
      </c>
      <c r="U6" s="26">
        <f>O6/R6</f>
        <v>0</v>
      </c>
      <c r="V6" s="26">
        <f>P6/R6</f>
        <v>0.16949152542372881</v>
      </c>
    </row>
    <row r="7" spans="1:24" x14ac:dyDescent="0.35">
      <c r="A7" s="3">
        <v>45016</v>
      </c>
      <c r="B7" s="4">
        <f>533+925+10+15</f>
        <v>1483</v>
      </c>
      <c r="E7" s="115">
        <v>533</v>
      </c>
      <c r="F7" s="4">
        <v>925</v>
      </c>
      <c r="G7" s="4">
        <v>10</v>
      </c>
      <c r="H7" s="17">
        <v>15</v>
      </c>
      <c r="I7" s="15">
        <v>113</v>
      </c>
      <c r="J7" s="4">
        <v>170</v>
      </c>
      <c r="K7" s="4">
        <v>3</v>
      </c>
      <c r="L7" s="17">
        <v>4</v>
      </c>
      <c r="M7" s="15">
        <v>30</v>
      </c>
      <c r="N7" s="4">
        <v>46</v>
      </c>
      <c r="O7" s="13">
        <v>0</v>
      </c>
      <c r="P7" s="17">
        <v>1</v>
      </c>
      <c r="R7">
        <f>M7+N7+O7+P7</f>
        <v>77</v>
      </c>
      <c r="S7" s="26">
        <f>M7/R7</f>
        <v>0.38961038961038963</v>
      </c>
      <c r="T7" s="26">
        <f>N7/R7</f>
        <v>0.59740259740259738</v>
      </c>
      <c r="U7" s="26">
        <f>O7/R7</f>
        <v>0</v>
      </c>
      <c r="V7" s="26">
        <f>P7/R7</f>
        <v>1.2987012987012988E-2</v>
      </c>
    </row>
    <row r="8" spans="1:24" x14ac:dyDescent="0.35">
      <c r="A8" s="3">
        <v>45382</v>
      </c>
      <c r="B8" s="4">
        <v>2670</v>
      </c>
      <c r="E8" s="115">
        <v>1087</v>
      </c>
      <c r="F8" s="4">
        <v>1478</v>
      </c>
      <c r="G8" s="4">
        <v>49</v>
      </c>
      <c r="H8" s="17">
        <v>56</v>
      </c>
      <c r="I8" s="15">
        <v>171</v>
      </c>
      <c r="J8" s="4">
        <v>256</v>
      </c>
      <c r="K8" s="4">
        <v>9</v>
      </c>
      <c r="L8" s="17">
        <v>22</v>
      </c>
      <c r="M8" s="15">
        <v>13</v>
      </c>
      <c r="N8" s="4">
        <v>41</v>
      </c>
      <c r="O8" s="4">
        <v>1</v>
      </c>
      <c r="P8" s="17">
        <v>6</v>
      </c>
      <c r="R8">
        <f>M8+N8+O8+P8</f>
        <v>61</v>
      </c>
      <c r="S8" s="26">
        <f>M8/R8</f>
        <v>0.21311475409836064</v>
      </c>
      <c r="T8" s="26">
        <f>N8/R8</f>
        <v>0.67213114754098358</v>
      </c>
      <c r="U8" s="26">
        <f>O8/R8</f>
        <v>1.6393442622950821E-2</v>
      </c>
      <c r="V8" s="26">
        <f>P8/R8</f>
        <v>9.8360655737704916E-2</v>
      </c>
    </row>
    <row r="9" spans="1:24" ht="15" thickBot="1" x14ac:dyDescent="0.4">
      <c r="A9" s="3" t="s">
        <v>125</v>
      </c>
      <c r="B9" s="4">
        <v>4999</v>
      </c>
      <c r="E9" s="132">
        <v>1748</v>
      </c>
      <c r="F9" s="19">
        <v>3080</v>
      </c>
      <c r="G9" s="19">
        <v>92</v>
      </c>
      <c r="H9" s="20">
        <v>79</v>
      </c>
      <c r="I9" s="18">
        <v>255</v>
      </c>
      <c r="J9" s="19">
        <v>512</v>
      </c>
      <c r="K9" s="19">
        <v>10</v>
      </c>
      <c r="L9" s="20">
        <v>12</v>
      </c>
      <c r="M9" s="18">
        <v>41</v>
      </c>
      <c r="N9" s="19">
        <v>42</v>
      </c>
      <c r="O9" s="21">
        <v>0</v>
      </c>
      <c r="P9" s="20">
        <v>0</v>
      </c>
      <c r="R9">
        <f>M9+N9+O9+P9</f>
        <v>83</v>
      </c>
      <c r="S9" s="26">
        <f>M9/R9</f>
        <v>0.49397590361445781</v>
      </c>
      <c r="T9" s="26">
        <f>N9/R9</f>
        <v>0.50602409638554213</v>
      </c>
      <c r="U9" s="26">
        <f>O9/R9</f>
        <v>0</v>
      </c>
      <c r="V9" s="26">
        <f>P9/R9</f>
        <v>0</v>
      </c>
      <c r="X9">
        <f>83-61</f>
        <v>22</v>
      </c>
    </row>
    <row r="10" spans="1:24" x14ac:dyDescent="0.35">
      <c r="A10" s="1"/>
      <c r="X10" s="26">
        <f>22/83</f>
        <v>0.26506024096385544</v>
      </c>
    </row>
    <row r="11" spans="1:24" x14ac:dyDescent="0.35">
      <c r="A11" t="s">
        <v>159</v>
      </c>
      <c r="R11" s="450" t="s">
        <v>138</v>
      </c>
      <c r="S11" s="450"/>
      <c r="T11" s="450"/>
      <c r="U11" s="450"/>
      <c r="V11" s="450"/>
    </row>
    <row r="12" spans="1:24" x14ac:dyDescent="0.35">
      <c r="S12" s="10" t="s">
        <v>184</v>
      </c>
      <c r="T12" s="10">
        <f>J12</f>
        <v>0</v>
      </c>
      <c r="U12" s="10">
        <f>K12</f>
        <v>0</v>
      </c>
      <c r="V12" s="10">
        <f>L12</f>
        <v>0</v>
      </c>
    </row>
    <row r="13" spans="1:24" x14ac:dyDescent="0.35">
      <c r="R13">
        <f>I13+J13+K13+L13</f>
        <v>0</v>
      </c>
      <c r="S13" s="26" t="e">
        <f>I13/R13</f>
        <v>#DIV/0!</v>
      </c>
      <c r="T13" s="26" t="e">
        <f>J13/R13</f>
        <v>#DIV/0!</v>
      </c>
      <c r="U13" s="26" t="e">
        <f>K13/R13</f>
        <v>#DIV/0!</v>
      </c>
      <c r="V13" s="26" t="e">
        <f>L13/R13</f>
        <v>#DIV/0!</v>
      </c>
    </row>
    <row r="14" spans="1:24" x14ac:dyDescent="0.35">
      <c r="R14">
        <f t="shared" ref="R14:R17" si="0">I14+J14+K14+L14</f>
        <v>0</v>
      </c>
      <c r="S14" s="26" t="e">
        <f t="shared" ref="S14:S17" si="1">I14/R14</f>
        <v>#DIV/0!</v>
      </c>
      <c r="T14" s="26" t="e">
        <f t="shared" ref="T14:T17" si="2">J14/R14</f>
        <v>#DIV/0!</v>
      </c>
      <c r="U14" s="26" t="e">
        <f t="shared" ref="U14:U17" si="3">K14/R14</f>
        <v>#DIV/0!</v>
      </c>
      <c r="V14" s="26" t="e">
        <f t="shared" ref="V14:V17" si="4">L14/R14</f>
        <v>#DIV/0!</v>
      </c>
    </row>
    <row r="15" spans="1:24" x14ac:dyDescent="0.35">
      <c r="R15">
        <f t="shared" si="0"/>
        <v>0</v>
      </c>
      <c r="S15" s="26" t="e">
        <f t="shared" si="1"/>
        <v>#DIV/0!</v>
      </c>
      <c r="T15" s="26" t="e">
        <f t="shared" si="2"/>
        <v>#DIV/0!</v>
      </c>
      <c r="U15" s="26" t="e">
        <f t="shared" si="3"/>
        <v>#DIV/0!</v>
      </c>
      <c r="V15" s="26" t="e">
        <f t="shared" si="4"/>
        <v>#DIV/0!</v>
      </c>
    </row>
    <row r="16" spans="1:24" x14ac:dyDescent="0.35">
      <c r="R16">
        <f t="shared" si="0"/>
        <v>0</v>
      </c>
      <c r="S16" s="26" t="e">
        <f t="shared" si="1"/>
        <v>#DIV/0!</v>
      </c>
      <c r="T16" s="26" t="e">
        <f t="shared" si="2"/>
        <v>#DIV/0!</v>
      </c>
      <c r="U16" s="26" t="e">
        <f t="shared" si="3"/>
        <v>#DIV/0!</v>
      </c>
      <c r="V16" s="26" t="e">
        <f t="shared" si="4"/>
        <v>#DIV/0!</v>
      </c>
    </row>
    <row r="17" spans="18:22" x14ac:dyDescent="0.35">
      <c r="R17">
        <f t="shared" si="0"/>
        <v>0</v>
      </c>
      <c r="S17" s="26" t="e">
        <f t="shared" si="1"/>
        <v>#DIV/0!</v>
      </c>
      <c r="T17" s="26" t="e">
        <f t="shared" si="2"/>
        <v>#DIV/0!</v>
      </c>
      <c r="U17" s="26" t="e">
        <f t="shared" si="3"/>
        <v>#DIV/0!</v>
      </c>
      <c r="V17" s="26" t="e">
        <f t="shared" si="4"/>
        <v>#DIV/0!</v>
      </c>
    </row>
  </sheetData>
  <mergeCells count="5">
    <mergeCell ref="E3:H3"/>
    <mergeCell ref="I3:L3"/>
    <mergeCell ref="R3:V3"/>
    <mergeCell ref="R11:V11"/>
    <mergeCell ref="M3:P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856CB-22B7-473F-BEB1-834151BE775F}">
  <dimension ref="A1:M18"/>
  <sheetViews>
    <sheetView topLeftCell="A3" workbookViewId="0"/>
  </sheetViews>
  <sheetFormatPr defaultRowHeight="14.5" x14ac:dyDescent="0.35"/>
  <cols>
    <col min="1" max="1" width="30" bestFit="1" customWidth="1"/>
    <col min="2" max="2" width="13.1796875" customWidth="1"/>
    <col min="3" max="3" width="10.453125" customWidth="1"/>
    <col min="4" max="4" width="9.81640625" customWidth="1"/>
    <col min="6" max="6" width="11" customWidth="1"/>
    <col min="7" max="7" width="12.453125" customWidth="1"/>
    <col min="8" max="8" width="9.81640625" customWidth="1"/>
    <col min="9" max="9" width="10.453125" customWidth="1"/>
    <col min="10" max="10" width="9.54296875" customWidth="1"/>
    <col min="11" max="11" width="10" customWidth="1"/>
    <col min="12" max="12" width="11.1796875" customWidth="1"/>
    <col min="13" max="13" width="9.453125" bestFit="1" customWidth="1"/>
  </cols>
  <sheetData>
    <row r="1" spans="1:13" x14ac:dyDescent="0.35">
      <c r="A1" s="6" t="s">
        <v>421</v>
      </c>
      <c r="B1" s="6"/>
    </row>
    <row r="2" spans="1:13" ht="15" thickBot="1" x14ac:dyDescent="0.4"/>
    <row r="3" spans="1:13" ht="73" thickBot="1" x14ac:dyDescent="0.4">
      <c r="A3" s="23" t="s">
        <v>114</v>
      </c>
      <c r="B3" s="79" t="s">
        <v>422</v>
      </c>
      <c r="C3" s="28" t="s">
        <v>423</v>
      </c>
      <c r="D3" s="28" t="s">
        <v>424</v>
      </c>
      <c r="E3" s="29" t="s">
        <v>246</v>
      </c>
      <c r="F3" s="27" t="s">
        <v>425</v>
      </c>
      <c r="G3" s="80" t="s">
        <v>426</v>
      </c>
      <c r="H3" s="81" t="s">
        <v>427</v>
      </c>
      <c r="I3" s="27" t="s">
        <v>428</v>
      </c>
      <c r="J3" s="28" t="s">
        <v>429</v>
      </c>
      <c r="K3" s="29" t="s">
        <v>430</v>
      </c>
      <c r="L3" s="73" t="s">
        <v>316</v>
      </c>
    </row>
    <row r="4" spans="1:13" x14ac:dyDescent="0.35">
      <c r="A4" s="58">
        <v>44286</v>
      </c>
      <c r="B4" s="34">
        <f>194+2324</f>
        <v>2518</v>
      </c>
      <c r="C4" s="35">
        <v>194</v>
      </c>
      <c r="D4" s="35">
        <v>2324</v>
      </c>
      <c r="E4" s="77" t="s">
        <v>266</v>
      </c>
      <c r="F4" s="34">
        <v>11</v>
      </c>
      <c r="G4" s="35">
        <v>151</v>
      </c>
      <c r="H4" s="77">
        <v>0</v>
      </c>
      <c r="I4" s="78">
        <v>0</v>
      </c>
      <c r="J4" s="35">
        <v>31</v>
      </c>
      <c r="K4" s="37">
        <v>0</v>
      </c>
      <c r="L4" s="74">
        <v>0</v>
      </c>
    </row>
    <row r="5" spans="1:13" x14ac:dyDescent="0.35">
      <c r="A5" s="58">
        <v>44651</v>
      </c>
      <c r="B5" s="15">
        <f>66+630+256</f>
        <v>952</v>
      </c>
      <c r="C5" s="4">
        <v>66</v>
      </c>
      <c r="D5" s="4">
        <v>630</v>
      </c>
      <c r="E5" s="16">
        <v>256</v>
      </c>
      <c r="F5" s="15">
        <v>6</v>
      </c>
      <c r="G5" s="4">
        <v>105</v>
      </c>
      <c r="H5" s="17">
        <v>85</v>
      </c>
      <c r="I5" s="15">
        <v>1</v>
      </c>
      <c r="J5" s="4">
        <v>34</v>
      </c>
      <c r="K5" s="14">
        <v>24</v>
      </c>
      <c r="L5" s="75">
        <f>1/59</f>
        <v>1.6949152542372881E-2</v>
      </c>
    </row>
    <row r="6" spans="1:13" x14ac:dyDescent="0.35">
      <c r="A6" s="58">
        <v>45016</v>
      </c>
      <c r="B6" s="15">
        <f>123+1114+246</f>
        <v>1483</v>
      </c>
      <c r="C6" s="4">
        <v>123</v>
      </c>
      <c r="D6" s="4">
        <v>1114</v>
      </c>
      <c r="E6" s="17">
        <v>246</v>
      </c>
      <c r="F6" s="15">
        <v>21</v>
      </c>
      <c r="G6" s="4">
        <v>219</v>
      </c>
      <c r="H6" s="17">
        <v>49</v>
      </c>
      <c r="I6" s="15">
        <v>2</v>
      </c>
      <c r="J6" s="4">
        <v>65</v>
      </c>
      <c r="K6" s="14">
        <v>10</v>
      </c>
      <c r="L6" s="75">
        <f>2/77</f>
        <v>2.5974025974025976E-2</v>
      </c>
    </row>
    <row r="7" spans="1:13" x14ac:dyDescent="0.35">
      <c r="A7" s="58">
        <v>45382</v>
      </c>
      <c r="B7" s="15">
        <f>C7+D7+E7</f>
        <v>2583</v>
      </c>
      <c r="C7" s="4">
        <v>132</v>
      </c>
      <c r="D7" s="4">
        <v>2059</v>
      </c>
      <c r="E7" s="17">
        <v>392</v>
      </c>
      <c r="F7" s="15">
        <v>37</v>
      </c>
      <c r="G7" s="4">
        <v>350</v>
      </c>
      <c r="H7" s="17">
        <v>71</v>
      </c>
      <c r="I7" s="15">
        <v>5</v>
      </c>
      <c r="J7" s="4">
        <v>43</v>
      </c>
      <c r="K7" s="14">
        <v>13</v>
      </c>
      <c r="L7" s="75">
        <f>5/61</f>
        <v>8.1967213114754092E-2</v>
      </c>
    </row>
    <row r="8" spans="1:13" ht="15" thickBot="1" x14ac:dyDescent="0.4">
      <c r="A8" s="59" t="s">
        <v>125</v>
      </c>
      <c r="B8" s="18">
        <v>4999</v>
      </c>
      <c r="C8" s="19">
        <v>556</v>
      </c>
      <c r="D8" s="19">
        <v>4107</v>
      </c>
      <c r="E8" s="20">
        <v>336</v>
      </c>
      <c r="F8" s="18">
        <v>86</v>
      </c>
      <c r="G8" s="19">
        <v>657</v>
      </c>
      <c r="H8" s="20">
        <v>46</v>
      </c>
      <c r="I8" s="18">
        <v>8</v>
      </c>
      <c r="J8" s="19">
        <v>71</v>
      </c>
      <c r="K8" s="72">
        <v>4</v>
      </c>
      <c r="L8" s="76">
        <f>8/83</f>
        <v>9.6385542168674704E-2</v>
      </c>
    </row>
    <row r="10" spans="1:13" x14ac:dyDescent="0.35">
      <c r="A10" s="22" t="s">
        <v>159</v>
      </c>
      <c r="B10" s="22"/>
      <c r="I10" s="26"/>
    </row>
    <row r="11" spans="1:13" x14ac:dyDescent="0.35">
      <c r="E11" t="s">
        <v>431</v>
      </c>
      <c r="J11" s="26"/>
      <c r="M11" s="71">
        <f>4/83</f>
        <v>4.8192771084337352E-2</v>
      </c>
    </row>
    <row r="12" spans="1:13" x14ac:dyDescent="0.35">
      <c r="E12">
        <f>F8+G8+H8</f>
        <v>789</v>
      </c>
      <c r="F12">
        <v>86</v>
      </c>
      <c r="G12">
        <v>657</v>
      </c>
      <c r="H12">
        <v>46</v>
      </c>
      <c r="J12" s="26"/>
      <c r="M12" s="26">
        <f>71/83</f>
        <v>0.85542168674698793</v>
      </c>
    </row>
    <row r="13" spans="1:13" x14ac:dyDescent="0.35">
      <c r="F13" s="26">
        <f>F12/E12</f>
        <v>0.10899873257287707</v>
      </c>
      <c r="G13" s="26">
        <f>G12/E12</f>
        <v>0.83269961977186313</v>
      </c>
      <c r="H13" s="26">
        <f>H12/E12</f>
        <v>5.8301647655259824E-2</v>
      </c>
      <c r="J13" s="26"/>
    </row>
    <row r="16" spans="1:13" x14ac:dyDescent="0.35">
      <c r="F16" s="26">
        <f>86/556</f>
        <v>0.15467625899280577</v>
      </c>
      <c r="H16" t="s">
        <v>432</v>
      </c>
    </row>
    <row r="17" spans="6:6" x14ac:dyDescent="0.35">
      <c r="F17" s="26">
        <f>657/4107</f>
        <v>0.15997078159240322</v>
      </c>
    </row>
    <row r="18" spans="6:6" x14ac:dyDescent="0.35">
      <c r="F18" s="26">
        <f>46/336</f>
        <v>0.13690476190476192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26EFA-9028-499E-906C-08856FA225A3}">
  <dimension ref="A1:Y17"/>
  <sheetViews>
    <sheetView zoomScale="60" zoomScaleNormal="60" workbookViewId="0">
      <selection sqref="A1:V8"/>
    </sheetView>
  </sheetViews>
  <sheetFormatPr defaultRowHeight="14.5" x14ac:dyDescent="0.35"/>
  <cols>
    <col min="1" max="1" width="18.54296875" customWidth="1"/>
    <col min="2" max="2" width="12.453125" customWidth="1"/>
    <col min="3" max="3" width="11.1796875" customWidth="1"/>
    <col min="4" max="4" width="10.453125" customWidth="1"/>
    <col min="5" max="5" width="13.453125" customWidth="1"/>
    <col min="6" max="6" width="10.453125" customWidth="1"/>
    <col min="8" max="8" width="11.1796875" customWidth="1"/>
    <col min="9" max="9" width="10.54296875" customWidth="1"/>
    <col min="11" max="11" width="12.54296875" customWidth="1"/>
    <col min="12" max="12" width="11.453125" customWidth="1"/>
    <col min="13" max="13" width="12.81640625" customWidth="1"/>
    <col min="14" max="14" width="13.54296875" customWidth="1"/>
    <col min="15" max="15" width="10.54296875" customWidth="1"/>
    <col min="16" max="17" width="11.54296875" customWidth="1"/>
    <col min="18" max="18" width="10.54296875" customWidth="1"/>
    <col min="19" max="19" width="10.81640625" customWidth="1"/>
    <col min="20" max="20" width="12.1796875" customWidth="1"/>
    <col min="21" max="21" width="10.54296875" customWidth="1"/>
    <col min="22" max="22" width="9.453125" customWidth="1"/>
    <col min="23" max="23" width="8.54296875" customWidth="1"/>
  </cols>
  <sheetData>
    <row r="1" spans="1:25" x14ac:dyDescent="0.35">
      <c r="A1" s="6" t="s">
        <v>433</v>
      </c>
    </row>
    <row r="2" spans="1:25" ht="15" thickBot="1" x14ac:dyDescent="0.4"/>
    <row r="3" spans="1:25" ht="44" thickBot="1" x14ac:dyDescent="0.4">
      <c r="A3" s="25" t="s">
        <v>114</v>
      </c>
      <c r="B3" s="27" t="s">
        <v>434</v>
      </c>
      <c r="C3" s="28" t="s">
        <v>435</v>
      </c>
      <c r="D3" s="29" t="s">
        <v>436</v>
      </c>
      <c r="E3" s="27" t="s">
        <v>437</v>
      </c>
      <c r="F3" s="28" t="s">
        <v>438</v>
      </c>
      <c r="G3" s="29" t="s">
        <v>439</v>
      </c>
      <c r="H3" s="27" t="s">
        <v>440</v>
      </c>
      <c r="I3" s="28" t="s">
        <v>441</v>
      </c>
      <c r="J3" s="29" t="s">
        <v>442</v>
      </c>
      <c r="K3" s="27" t="s">
        <v>443</v>
      </c>
      <c r="L3" s="28" t="s">
        <v>444</v>
      </c>
      <c r="M3" s="29" t="s">
        <v>445</v>
      </c>
      <c r="N3" s="27" t="s">
        <v>446</v>
      </c>
      <c r="O3" s="28" t="s">
        <v>447</v>
      </c>
      <c r="P3" s="29" t="s">
        <v>448</v>
      </c>
      <c r="Q3" s="27" t="s">
        <v>449</v>
      </c>
      <c r="R3" s="28" t="s">
        <v>450</v>
      </c>
      <c r="S3" s="29" t="s">
        <v>451</v>
      </c>
      <c r="T3" s="30" t="s">
        <v>452</v>
      </c>
      <c r="U3" s="31" t="s">
        <v>453</v>
      </c>
      <c r="V3" s="32" t="s">
        <v>454</v>
      </c>
    </row>
    <row r="4" spans="1:25" x14ac:dyDescent="0.35">
      <c r="A4" s="24">
        <v>44286</v>
      </c>
      <c r="B4" s="34">
        <v>382</v>
      </c>
      <c r="C4" s="35">
        <v>9</v>
      </c>
      <c r="D4" s="36">
        <v>3</v>
      </c>
      <c r="E4" s="34">
        <v>1369</v>
      </c>
      <c r="F4" s="35">
        <v>62</v>
      </c>
      <c r="G4" s="36">
        <v>12</v>
      </c>
      <c r="H4" s="34">
        <v>330</v>
      </c>
      <c r="I4" s="35">
        <v>37</v>
      </c>
      <c r="J4" s="36">
        <v>4</v>
      </c>
      <c r="K4" s="34">
        <v>191</v>
      </c>
      <c r="L4" s="35">
        <v>27</v>
      </c>
      <c r="M4" s="36">
        <v>6</v>
      </c>
      <c r="N4" s="34">
        <v>116</v>
      </c>
      <c r="O4" s="35">
        <v>15</v>
      </c>
      <c r="P4" s="36">
        <v>2</v>
      </c>
      <c r="Q4" s="34">
        <v>9</v>
      </c>
      <c r="R4" s="35">
        <v>1</v>
      </c>
      <c r="S4" s="37">
        <v>0</v>
      </c>
      <c r="T4" s="38">
        <v>93</v>
      </c>
      <c r="U4" s="39">
        <v>10</v>
      </c>
      <c r="V4" s="40">
        <v>4</v>
      </c>
      <c r="W4" s="54">
        <f>V4+S4+P4+M4+J4+G4+D4</f>
        <v>31</v>
      </c>
    </row>
    <row r="5" spans="1:25" x14ac:dyDescent="0.35">
      <c r="A5" s="24">
        <v>44651</v>
      </c>
      <c r="B5" s="15">
        <v>133</v>
      </c>
      <c r="C5" s="4">
        <v>4</v>
      </c>
      <c r="D5" s="17">
        <v>1</v>
      </c>
      <c r="E5" s="15">
        <v>363</v>
      </c>
      <c r="F5" s="4">
        <v>54</v>
      </c>
      <c r="G5" s="17">
        <v>17</v>
      </c>
      <c r="H5" s="15">
        <v>109</v>
      </c>
      <c r="I5" s="4">
        <v>25</v>
      </c>
      <c r="J5" s="17">
        <v>10</v>
      </c>
      <c r="K5" s="15">
        <v>79</v>
      </c>
      <c r="L5" s="4">
        <v>23</v>
      </c>
      <c r="M5" s="17">
        <v>7</v>
      </c>
      <c r="N5" s="15">
        <v>47</v>
      </c>
      <c r="O5" s="4">
        <v>16</v>
      </c>
      <c r="P5" s="17">
        <v>5</v>
      </c>
      <c r="Q5" s="15">
        <v>2</v>
      </c>
      <c r="R5" s="4">
        <v>1</v>
      </c>
      <c r="S5" s="41">
        <v>0</v>
      </c>
      <c r="T5" s="15">
        <v>219</v>
      </c>
      <c r="U5" s="4">
        <v>73</v>
      </c>
      <c r="V5" s="17">
        <v>19</v>
      </c>
      <c r="W5" s="54">
        <f t="shared" ref="W5:W8" si="0">V5+S5+P5+M5+J5+G5+D5</f>
        <v>59</v>
      </c>
    </row>
    <row r="6" spans="1:25" x14ac:dyDescent="0.35">
      <c r="A6" s="24">
        <v>45016</v>
      </c>
      <c r="B6" s="15">
        <v>308</v>
      </c>
      <c r="C6" s="4">
        <v>29</v>
      </c>
      <c r="D6" s="17">
        <v>8</v>
      </c>
      <c r="E6" s="15">
        <v>659</v>
      </c>
      <c r="F6" s="4">
        <v>123</v>
      </c>
      <c r="G6" s="17">
        <v>32</v>
      </c>
      <c r="H6" s="15">
        <v>239</v>
      </c>
      <c r="I6" s="4">
        <v>54</v>
      </c>
      <c r="J6" s="17">
        <v>16</v>
      </c>
      <c r="K6" s="15">
        <v>133</v>
      </c>
      <c r="L6" s="4">
        <v>42</v>
      </c>
      <c r="M6" s="17">
        <v>11</v>
      </c>
      <c r="N6" s="15">
        <v>78</v>
      </c>
      <c r="O6" s="4">
        <v>28</v>
      </c>
      <c r="P6" s="17">
        <v>5</v>
      </c>
      <c r="Q6" s="15">
        <v>8</v>
      </c>
      <c r="R6" s="4">
        <v>20</v>
      </c>
      <c r="S6" s="41">
        <v>0</v>
      </c>
      <c r="T6" s="15">
        <v>58</v>
      </c>
      <c r="U6" s="4">
        <v>12</v>
      </c>
      <c r="V6" s="17">
        <v>5</v>
      </c>
      <c r="W6" s="54">
        <f t="shared" si="0"/>
        <v>77</v>
      </c>
    </row>
    <row r="7" spans="1:25" x14ac:dyDescent="0.35">
      <c r="A7" s="24">
        <v>45382</v>
      </c>
      <c r="B7" s="15">
        <v>652</v>
      </c>
      <c r="C7" s="4">
        <v>93</v>
      </c>
      <c r="D7" s="17">
        <v>9</v>
      </c>
      <c r="E7" s="15">
        <v>1016</v>
      </c>
      <c r="F7" s="4">
        <v>164</v>
      </c>
      <c r="G7" s="17">
        <v>23</v>
      </c>
      <c r="H7" s="15">
        <v>454</v>
      </c>
      <c r="I7" s="4">
        <v>78</v>
      </c>
      <c r="J7" s="17">
        <v>12</v>
      </c>
      <c r="K7" s="15">
        <v>253</v>
      </c>
      <c r="L7" s="4">
        <v>50</v>
      </c>
      <c r="M7" s="17">
        <v>6</v>
      </c>
      <c r="N7" s="15">
        <v>177</v>
      </c>
      <c r="O7" s="4">
        <v>44</v>
      </c>
      <c r="P7" s="17">
        <v>3</v>
      </c>
      <c r="Q7" s="15">
        <v>18</v>
      </c>
      <c r="R7" s="4">
        <v>3</v>
      </c>
      <c r="S7" s="14">
        <v>1</v>
      </c>
      <c r="T7" s="15">
        <v>100</v>
      </c>
      <c r="U7" s="4">
        <v>26</v>
      </c>
      <c r="V7" s="17">
        <v>7</v>
      </c>
      <c r="W7" s="54">
        <f t="shared" si="0"/>
        <v>61</v>
      </c>
    </row>
    <row r="8" spans="1:25" ht="15" thickBot="1" x14ac:dyDescent="0.4">
      <c r="A8" s="24" t="s">
        <v>125</v>
      </c>
      <c r="B8" s="18">
        <v>1134</v>
      </c>
      <c r="C8" s="19">
        <v>106</v>
      </c>
      <c r="D8" s="20">
        <v>9</v>
      </c>
      <c r="E8" s="18">
        <v>2102</v>
      </c>
      <c r="F8" s="19">
        <v>316</v>
      </c>
      <c r="G8" s="20">
        <v>30</v>
      </c>
      <c r="H8" s="18">
        <v>846</v>
      </c>
      <c r="I8" s="19">
        <v>171</v>
      </c>
      <c r="J8" s="20">
        <v>24</v>
      </c>
      <c r="K8" s="18">
        <v>415</v>
      </c>
      <c r="L8" s="19">
        <v>102</v>
      </c>
      <c r="M8" s="20">
        <v>10</v>
      </c>
      <c r="N8" s="18">
        <v>323</v>
      </c>
      <c r="O8" s="19">
        <v>70</v>
      </c>
      <c r="P8" s="20">
        <v>9</v>
      </c>
      <c r="Q8" s="18">
        <v>33</v>
      </c>
      <c r="R8" s="19">
        <v>2</v>
      </c>
      <c r="S8" s="42">
        <v>0</v>
      </c>
      <c r="T8" s="18">
        <v>146</v>
      </c>
      <c r="U8" s="19">
        <v>22</v>
      </c>
      <c r="V8" s="20">
        <v>1</v>
      </c>
      <c r="W8" s="54">
        <f t="shared" si="0"/>
        <v>83</v>
      </c>
    </row>
    <row r="10" spans="1:25" x14ac:dyDescent="0.35">
      <c r="A10" s="22" t="s">
        <v>159</v>
      </c>
    </row>
    <row r="12" spans="1:25" s="11" customFormat="1" ht="116" x14ac:dyDescent="0.35">
      <c r="B12" s="11" t="str">
        <f>B3</f>
        <v>16-24 Applications</v>
      </c>
      <c r="C12" s="11" t="str">
        <f>E3</f>
        <v>25-34 Applications</v>
      </c>
      <c r="D12" s="11" t="str">
        <f>H3</f>
        <v>35 - 44 Applications</v>
      </c>
      <c r="E12" s="11" t="str">
        <f>K3</f>
        <v>45 - 54 Applications</v>
      </c>
      <c r="F12" s="11" t="str">
        <f>N3</f>
        <v>55 - 64 Applications</v>
      </c>
      <c r="G12" s="11" t="str">
        <f>Q3</f>
        <v>65+ Applications</v>
      </c>
      <c r="H12" s="11" t="str">
        <f>T3</f>
        <v>Prefer not to say applications</v>
      </c>
      <c r="M12" s="12" t="s">
        <v>187</v>
      </c>
      <c r="N12" s="12" t="s">
        <v>455</v>
      </c>
      <c r="O12" s="12" t="s">
        <v>165</v>
      </c>
      <c r="P12" s="12" t="s">
        <v>166</v>
      </c>
      <c r="Q12" s="12" t="s">
        <v>167</v>
      </c>
      <c r="R12" s="12" t="s">
        <v>168</v>
      </c>
      <c r="S12" s="12" t="s">
        <v>456</v>
      </c>
      <c r="Y12" s="11" t="s">
        <v>457</v>
      </c>
    </row>
    <row r="13" spans="1:25" x14ac:dyDescent="0.35">
      <c r="B13">
        <f>B8</f>
        <v>1134</v>
      </c>
      <c r="C13">
        <f>E8</f>
        <v>2102</v>
      </c>
      <c r="D13">
        <f>H8</f>
        <v>846</v>
      </c>
      <c r="E13">
        <f>K8</f>
        <v>415</v>
      </c>
      <c r="F13">
        <f>N8</f>
        <v>323</v>
      </c>
      <c r="G13">
        <f>Q8</f>
        <v>33</v>
      </c>
      <c r="H13">
        <f>T8</f>
        <v>146</v>
      </c>
      <c r="M13" s="26">
        <f>D4/W4</f>
        <v>9.6774193548387094E-2</v>
      </c>
      <c r="N13" s="26">
        <f>G4/W4</f>
        <v>0.38709677419354838</v>
      </c>
      <c r="O13" s="26">
        <f>J4/W4</f>
        <v>0.12903225806451613</v>
      </c>
      <c r="P13" s="26">
        <f>M4/W4</f>
        <v>0.19354838709677419</v>
      </c>
      <c r="Q13" s="26">
        <f>P4/W4</f>
        <v>6.4516129032258063E-2</v>
      </c>
      <c r="R13" s="26">
        <f>S4/W4</f>
        <v>0</v>
      </c>
      <c r="S13" s="26">
        <f>V4/W4</f>
        <v>0.12903225806451613</v>
      </c>
    </row>
    <row r="14" spans="1:25" x14ac:dyDescent="0.35">
      <c r="A14">
        <f>B8+E8+H8+K8+N8+Q8+T8</f>
        <v>4999</v>
      </c>
      <c r="B14" s="26">
        <f>B13/A14</f>
        <v>0.22684536907381475</v>
      </c>
      <c r="C14" s="26">
        <f>C13/A14</f>
        <v>0.42048409681936388</v>
      </c>
      <c r="D14" s="26">
        <f>D13/A14</f>
        <v>0.16923384676935388</v>
      </c>
      <c r="E14" s="26">
        <f>E13/A14</f>
        <v>8.3016603320664129E-2</v>
      </c>
      <c r="F14" s="26">
        <f>F13/A14</f>
        <v>6.461292258451691E-2</v>
      </c>
      <c r="G14" s="26">
        <f>G13/A14</f>
        <v>6.6013202640528108E-3</v>
      </c>
      <c r="H14" s="26">
        <f>H13/A14</f>
        <v>2.9205841168233646E-2</v>
      </c>
      <c r="M14" s="26">
        <f>D5/W5</f>
        <v>1.6949152542372881E-2</v>
      </c>
      <c r="N14" s="26">
        <f>G5/W5</f>
        <v>0.28813559322033899</v>
      </c>
      <c r="O14" s="26">
        <f>J5/W5</f>
        <v>0.16949152542372881</v>
      </c>
      <c r="P14" s="26">
        <f>M5/W5</f>
        <v>0.11864406779661017</v>
      </c>
      <c r="Q14" s="26">
        <f>P5/W5</f>
        <v>8.4745762711864403E-2</v>
      </c>
      <c r="R14" s="26">
        <f>S5/W5</f>
        <v>0</v>
      </c>
      <c r="S14" s="26">
        <f>V5/W5</f>
        <v>0.32203389830508472</v>
      </c>
      <c r="Y14" t="s">
        <v>458</v>
      </c>
    </row>
    <row r="15" spans="1:25" x14ac:dyDescent="0.35">
      <c r="M15" s="26">
        <f>D6/W6</f>
        <v>0.1038961038961039</v>
      </c>
      <c r="N15" s="26">
        <f>G6/W6</f>
        <v>0.41558441558441561</v>
      </c>
      <c r="O15" s="26">
        <f>J6/W6</f>
        <v>0.20779220779220781</v>
      </c>
      <c r="P15" s="26">
        <f>M6/W6</f>
        <v>0.14285714285714285</v>
      </c>
      <c r="Q15" s="26">
        <f>P6/W6</f>
        <v>6.4935064935064929E-2</v>
      </c>
      <c r="R15" s="26">
        <f>S6/W6</f>
        <v>0</v>
      </c>
      <c r="S15" s="26">
        <f>V6/W6</f>
        <v>6.4935064935064929E-2</v>
      </c>
    </row>
    <row r="16" spans="1:25" x14ac:dyDescent="0.35">
      <c r="M16" s="26">
        <f>D7/W7</f>
        <v>0.14754098360655737</v>
      </c>
      <c r="N16" s="26">
        <f>G7/W7</f>
        <v>0.37704918032786883</v>
      </c>
      <c r="O16" s="26">
        <f>J7/W7</f>
        <v>0.19672131147540983</v>
      </c>
      <c r="P16" s="26">
        <f>M7/W7</f>
        <v>9.8360655737704916E-2</v>
      </c>
      <c r="Q16" s="26">
        <f>P7/W7</f>
        <v>4.9180327868852458E-2</v>
      </c>
      <c r="R16" s="26">
        <f>S7/W7</f>
        <v>1.6393442622950821E-2</v>
      </c>
      <c r="S16" s="26">
        <f>V7/W7</f>
        <v>0.11475409836065574</v>
      </c>
    </row>
    <row r="17" spans="13:19" x14ac:dyDescent="0.35">
      <c r="M17" s="26">
        <f>D8/W8</f>
        <v>0.10843373493975904</v>
      </c>
      <c r="N17" s="26">
        <f>G8/W8</f>
        <v>0.36144578313253012</v>
      </c>
      <c r="O17" s="26">
        <f>J8/W8</f>
        <v>0.28915662650602408</v>
      </c>
      <c r="P17" s="26">
        <f>M8/W8</f>
        <v>0.12048192771084337</v>
      </c>
      <c r="Q17" s="26">
        <f>P8/W8</f>
        <v>0.10843373493975904</v>
      </c>
      <c r="R17" s="26">
        <f>S8/W8</f>
        <v>0</v>
      </c>
      <c r="S17" s="26">
        <f>V8/W8</f>
        <v>1.2048192771084338E-2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4545D-BFA0-465A-B85E-1A37FABA6044}">
  <dimension ref="A1:X19"/>
  <sheetViews>
    <sheetView topLeftCell="C1" zoomScale="70" zoomScaleNormal="70" workbookViewId="0">
      <selection sqref="A1:V9"/>
    </sheetView>
  </sheetViews>
  <sheetFormatPr defaultRowHeight="14.5" x14ac:dyDescent="0.35"/>
  <cols>
    <col min="1" max="1" width="13.453125" customWidth="1"/>
    <col min="2" max="4" width="12.1796875" customWidth="1"/>
    <col min="5" max="5" width="12.81640625" customWidth="1"/>
    <col min="6" max="6" width="12.1796875" customWidth="1"/>
    <col min="7" max="7" width="9.54296875" customWidth="1"/>
    <col min="8" max="8" width="13.54296875" customWidth="1"/>
    <col min="9" max="9" width="10.81640625" customWidth="1"/>
    <col min="10" max="10" width="9.81640625" customWidth="1"/>
    <col min="11" max="11" width="11" customWidth="1"/>
    <col min="12" max="12" width="9.453125" customWidth="1"/>
    <col min="14" max="14" width="12" customWidth="1"/>
    <col min="15" max="15" width="11.453125" customWidth="1"/>
    <col min="16" max="16" width="11.1796875" customWidth="1"/>
    <col min="17" max="17" width="11.54296875" customWidth="1"/>
    <col min="18" max="18" width="11.453125" customWidth="1"/>
    <col min="20" max="20" width="12" customWidth="1"/>
    <col min="21" max="21" width="11.54296875" customWidth="1"/>
    <col min="22" max="22" width="10.453125" customWidth="1"/>
    <col min="24" max="24" width="10.453125" customWidth="1"/>
  </cols>
  <sheetData>
    <row r="1" spans="1:24" x14ac:dyDescent="0.35">
      <c r="A1" s="6" t="s">
        <v>459</v>
      </c>
    </row>
    <row r="2" spans="1:24" x14ac:dyDescent="0.35">
      <c r="A2" s="6"/>
    </row>
    <row r="3" spans="1:24" ht="15" thickBot="1" x14ac:dyDescent="0.4"/>
    <row r="4" spans="1:24" ht="87" x14ac:dyDescent="0.35">
      <c r="A4" s="44" t="s">
        <v>114</v>
      </c>
      <c r="B4" s="30" t="s">
        <v>284</v>
      </c>
      <c r="C4" s="31" t="s">
        <v>285</v>
      </c>
      <c r="D4" s="32" t="s">
        <v>286</v>
      </c>
      <c r="E4" s="30" t="s">
        <v>287</v>
      </c>
      <c r="F4" s="31" t="s">
        <v>288</v>
      </c>
      <c r="G4" s="32" t="s">
        <v>289</v>
      </c>
      <c r="H4" s="30" t="s">
        <v>460</v>
      </c>
      <c r="I4" s="33" t="s">
        <v>461</v>
      </c>
      <c r="J4" s="45" t="s">
        <v>462</v>
      </c>
      <c r="K4" s="30" t="s">
        <v>293</v>
      </c>
      <c r="L4" s="33" t="s">
        <v>463</v>
      </c>
      <c r="M4" s="45" t="s">
        <v>295</v>
      </c>
      <c r="N4" s="30" t="s">
        <v>296</v>
      </c>
      <c r="O4" s="33" t="s">
        <v>297</v>
      </c>
      <c r="P4" s="45" t="s">
        <v>298</v>
      </c>
      <c r="Q4" s="30" t="s">
        <v>299</v>
      </c>
      <c r="R4" s="31" t="s">
        <v>300</v>
      </c>
      <c r="S4" s="32" t="s">
        <v>301</v>
      </c>
      <c r="T4" s="30" t="s">
        <v>302</v>
      </c>
      <c r="U4" s="33" t="s">
        <v>303</v>
      </c>
      <c r="V4" s="45" t="s">
        <v>304</v>
      </c>
    </row>
    <row r="5" spans="1:24" x14ac:dyDescent="0.35">
      <c r="A5" s="46">
        <v>44286</v>
      </c>
      <c r="B5" s="15">
        <f>61+15+32+12</f>
        <v>120</v>
      </c>
      <c r="C5" s="4">
        <f>3+1+3</f>
        <v>7</v>
      </c>
      <c r="D5" s="17">
        <v>1</v>
      </c>
      <c r="E5" s="15">
        <v>13</v>
      </c>
      <c r="F5" s="4">
        <v>1</v>
      </c>
      <c r="G5" s="17">
        <v>0</v>
      </c>
      <c r="H5" s="15">
        <v>7</v>
      </c>
      <c r="I5" s="4">
        <v>0</v>
      </c>
      <c r="J5" s="17">
        <v>0</v>
      </c>
      <c r="K5" s="15">
        <v>91</v>
      </c>
      <c r="L5" s="4">
        <v>6</v>
      </c>
      <c r="M5" s="17">
        <v>0</v>
      </c>
      <c r="N5" s="15">
        <v>27</v>
      </c>
      <c r="O5" s="4">
        <v>3</v>
      </c>
      <c r="P5" s="17">
        <v>1</v>
      </c>
      <c r="Q5" s="15">
        <f>68+650+587+834</f>
        <v>2139</v>
      </c>
      <c r="R5" s="4">
        <f>4+36+44+55</f>
        <v>139</v>
      </c>
      <c r="S5" s="17">
        <f>1+6+6+16</f>
        <v>29</v>
      </c>
      <c r="T5" s="15">
        <v>125</v>
      </c>
      <c r="U5" s="4">
        <v>5</v>
      </c>
      <c r="V5" s="17">
        <v>0</v>
      </c>
    </row>
    <row r="6" spans="1:24" x14ac:dyDescent="0.35">
      <c r="A6" s="46">
        <v>44651</v>
      </c>
      <c r="B6" s="15">
        <f>16+8+9+1</f>
        <v>34</v>
      </c>
      <c r="C6" s="4">
        <v>2</v>
      </c>
      <c r="D6" s="17">
        <v>0</v>
      </c>
      <c r="E6" s="15">
        <v>15</v>
      </c>
      <c r="F6" s="4">
        <v>2</v>
      </c>
      <c r="G6" s="17">
        <v>1</v>
      </c>
      <c r="H6" s="15">
        <v>0</v>
      </c>
      <c r="I6" s="4">
        <v>0</v>
      </c>
      <c r="J6" s="17">
        <v>0</v>
      </c>
      <c r="K6" s="15">
        <v>22</v>
      </c>
      <c r="L6" s="4">
        <v>2</v>
      </c>
      <c r="M6" s="17">
        <v>2</v>
      </c>
      <c r="N6" s="15">
        <v>18</v>
      </c>
      <c r="O6" s="4">
        <v>2</v>
      </c>
      <c r="P6" s="17">
        <v>0</v>
      </c>
      <c r="Q6" s="15">
        <f>12+236+113+282</f>
        <v>643</v>
      </c>
      <c r="R6" s="4">
        <f>3+37+20+49</f>
        <v>109</v>
      </c>
      <c r="S6" s="17">
        <f>9+10+15</f>
        <v>34</v>
      </c>
      <c r="T6" s="15">
        <v>221</v>
      </c>
      <c r="U6" s="4">
        <v>79</v>
      </c>
      <c r="V6" s="17">
        <v>22</v>
      </c>
    </row>
    <row r="7" spans="1:24" x14ac:dyDescent="0.35">
      <c r="A7" s="46">
        <v>45016</v>
      </c>
      <c r="B7" s="15">
        <f>1+33+19+29+4</f>
        <v>86</v>
      </c>
      <c r="C7" s="4">
        <f>1+4+3+1+1</f>
        <v>10</v>
      </c>
      <c r="D7" s="17">
        <v>4</v>
      </c>
      <c r="E7" s="15">
        <v>11</v>
      </c>
      <c r="F7" s="4">
        <v>0</v>
      </c>
      <c r="G7" s="17">
        <v>0</v>
      </c>
      <c r="H7" s="15">
        <v>5</v>
      </c>
      <c r="I7" s="4">
        <v>1</v>
      </c>
      <c r="J7" s="17">
        <v>1</v>
      </c>
      <c r="K7" s="15">
        <v>58</v>
      </c>
      <c r="L7" s="4">
        <v>3</v>
      </c>
      <c r="M7" s="17">
        <v>0</v>
      </c>
      <c r="N7" s="15">
        <v>35</v>
      </c>
      <c r="O7" s="4">
        <v>3</v>
      </c>
      <c r="P7" s="17">
        <v>0</v>
      </c>
      <c r="Q7" s="15">
        <f>34+414+257+499</f>
        <v>1204</v>
      </c>
      <c r="R7" s="4">
        <f>9+68+68+116</f>
        <v>261</v>
      </c>
      <c r="S7" s="17">
        <f>2+13+16+36</f>
        <v>67</v>
      </c>
      <c r="T7" s="15">
        <v>84</v>
      </c>
      <c r="U7" s="4">
        <v>12</v>
      </c>
      <c r="V7" s="17">
        <v>5</v>
      </c>
    </row>
    <row r="8" spans="1:24" x14ac:dyDescent="0.35">
      <c r="A8" s="46">
        <v>45382</v>
      </c>
      <c r="B8" s="15">
        <v>255</v>
      </c>
      <c r="C8" s="4">
        <v>18</v>
      </c>
      <c r="D8" s="17">
        <v>3</v>
      </c>
      <c r="E8" s="15">
        <v>108</v>
      </c>
      <c r="F8" s="4">
        <v>18</v>
      </c>
      <c r="G8" s="17">
        <v>1</v>
      </c>
      <c r="H8" s="15">
        <v>9</v>
      </c>
      <c r="I8" s="4">
        <v>1</v>
      </c>
      <c r="J8" s="17">
        <v>0</v>
      </c>
      <c r="K8" s="15">
        <v>180</v>
      </c>
      <c r="L8" s="4">
        <v>24</v>
      </c>
      <c r="M8" s="17">
        <v>2</v>
      </c>
      <c r="N8" s="15">
        <v>3</v>
      </c>
      <c r="O8" s="4">
        <v>0</v>
      </c>
      <c r="P8" s="17">
        <v>0</v>
      </c>
      <c r="Q8" s="15">
        <v>1935</v>
      </c>
      <c r="R8" s="4">
        <v>360</v>
      </c>
      <c r="S8" s="17">
        <v>47</v>
      </c>
      <c r="T8" s="15">
        <v>180</v>
      </c>
      <c r="U8" s="4">
        <v>37</v>
      </c>
      <c r="V8" s="17">
        <v>8</v>
      </c>
    </row>
    <row r="9" spans="1:24" ht="15" thickBot="1" x14ac:dyDescent="0.4">
      <c r="A9" s="14" t="s">
        <v>125</v>
      </c>
      <c r="B9" s="18">
        <v>522</v>
      </c>
      <c r="C9" s="19">
        <v>53</v>
      </c>
      <c r="D9" s="20">
        <v>7</v>
      </c>
      <c r="E9" s="18">
        <v>130</v>
      </c>
      <c r="F9" s="19">
        <v>19</v>
      </c>
      <c r="G9" s="20">
        <v>3</v>
      </c>
      <c r="H9" s="18">
        <v>25</v>
      </c>
      <c r="I9" s="19">
        <v>4</v>
      </c>
      <c r="J9" s="20">
        <v>1</v>
      </c>
      <c r="K9" s="18">
        <v>280</v>
      </c>
      <c r="L9" s="19">
        <v>32</v>
      </c>
      <c r="M9" s="20">
        <v>6</v>
      </c>
      <c r="N9" s="18">
        <v>11</v>
      </c>
      <c r="O9" s="19">
        <v>1</v>
      </c>
      <c r="P9" s="20">
        <v>0</v>
      </c>
      <c r="Q9" s="18">
        <v>3725</v>
      </c>
      <c r="R9" s="19">
        <v>644</v>
      </c>
      <c r="S9" s="20">
        <v>66</v>
      </c>
      <c r="T9" s="18">
        <v>296</v>
      </c>
      <c r="U9" s="19">
        <v>36</v>
      </c>
      <c r="V9" s="20">
        <v>0</v>
      </c>
    </row>
    <row r="11" spans="1:24" ht="43.5" x14ac:dyDescent="0.35">
      <c r="A11" s="22" t="s">
        <v>159</v>
      </c>
      <c r="E11" s="66" t="s">
        <v>464</v>
      </c>
      <c r="F11" s="66" t="s">
        <v>465</v>
      </c>
      <c r="G11" s="12" t="s">
        <v>466</v>
      </c>
      <c r="K11" t="s">
        <v>467</v>
      </c>
      <c r="L11" t="s">
        <v>138</v>
      </c>
      <c r="M11" s="66" t="s">
        <v>465</v>
      </c>
      <c r="O11" s="10" t="s">
        <v>468</v>
      </c>
      <c r="Q11" s="10" t="s">
        <v>469</v>
      </c>
      <c r="R11" s="66" t="s">
        <v>470</v>
      </c>
    </row>
    <row r="12" spans="1:24" x14ac:dyDescent="0.35">
      <c r="G12" s="54">
        <f>D5+G5+J5+M5+P5+S5+V5</f>
        <v>31</v>
      </c>
      <c r="H12" s="26">
        <f>M12/G12</f>
        <v>6.4516129032258063E-2</v>
      </c>
      <c r="K12">
        <f>B5+E5+H5+K5+N5</f>
        <v>258</v>
      </c>
      <c r="L12">
        <f>C5+F5+I5+L5+O5</f>
        <v>17</v>
      </c>
      <c r="M12">
        <f>D5+G5+J5+M5+P5</f>
        <v>2</v>
      </c>
      <c r="O12">
        <f>T5+N5+K5+H5+E5+B5+Q5</f>
        <v>2522</v>
      </c>
      <c r="P12" s="26">
        <f>K12/O12</f>
        <v>0.10229976209357652</v>
      </c>
      <c r="Q12" s="26">
        <f>L12/K12</f>
        <v>6.589147286821706E-2</v>
      </c>
      <c r="R12" s="26">
        <f>M12/G12</f>
        <v>6.4516129032258063E-2</v>
      </c>
    </row>
    <row r="13" spans="1:24" ht="15" thickBot="1" x14ac:dyDescent="0.4">
      <c r="G13" s="54">
        <f>D6+G6+J6+M6+P6+S6+V6</f>
        <v>59</v>
      </c>
      <c r="H13" s="26">
        <f>M13/G13</f>
        <v>5.0847457627118647E-2</v>
      </c>
      <c r="K13">
        <f t="shared" ref="K13:K16" si="0">B6+E6+H6+K6+N6</f>
        <v>89</v>
      </c>
      <c r="L13">
        <f t="shared" ref="L13:L16" si="1">C6+F6+I6+L6+O6</f>
        <v>8</v>
      </c>
      <c r="M13">
        <f>D6+G6+J6+M6+P6</f>
        <v>3</v>
      </c>
      <c r="O13">
        <f t="shared" ref="O13:O15" si="2">T6+N6+K6+H6+E6+B6+Q6</f>
        <v>953</v>
      </c>
      <c r="P13" s="26">
        <f t="shared" ref="P13:P16" si="3">K13/O13</f>
        <v>9.3389296956977966E-2</v>
      </c>
      <c r="Q13" s="26">
        <f>L13/K13</f>
        <v>8.98876404494382E-2</v>
      </c>
      <c r="R13" s="26">
        <f>M13/G13</f>
        <v>5.0847457627118647E-2</v>
      </c>
    </row>
    <row r="14" spans="1:24" ht="28" customHeight="1" thickBot="1" x14ac:dyDescent="0.4">
      <c r="A14" s="47" t="s">
        <v>471</v>
      </c>
      <c r="B14" s="453" t="s">
        <v>472</v>
      </c>
      <c r="C14" s="454"/>
      <c r="G14" s="54">
        <f>D7+G7+J7+M7+P7+S7+V7</f>
        <v>77</v>
      </c>
      <c r="H14" s="26">
        <f>M14/G14</f>
        <v>6.4935064935064929E-2</v>
      </c>
      <c r="K14">
        <f t="shared" si="0"/>
        <v>195</v>
      </c>
      <c r="L14">
        <f t="shared" si="1"/>
        <v>17</v>
      </c>
      <c r="M14">
        <f>D7+G7+J7+M7+P7</f>
        <v>5</v>
      </c>
      <c r="O14">
        <f t="shared" si="2"/>
        <v>1483</v>
      </c>
      <c r="P14" s="26">
        <f t="shared" si="3"/>
        <v>0.13149022252191503</v>
      </c>
      <c r="Q14" s="26">
        <f>L14/K14</f>
        <v>8.7179487179487175E-2</v>
      </c>
      <c r="R14" s="26">
        <f>M14/G14</f>
        <v>6.4935064935064929E-2</v>
      </c>
      <c r="X14" s="26"/>
    </row>
    <row r="15" spans="1:24" ht="53.15" customHeight="1" x14ac:dyDescent="0.35">
      <c r="A15" s="48" t="s">
        <v>257</v>
      </c>
      <c r="B15" s="455" t="s">
        <v>473</v>
      </c>
      <c r="C15" s="456"/>
      <c r="G15" s="54">
        <f>D8+G8+J8+M8+P8+S8+V8</f>
        <v>61</v>
      </c>
      <c r="H15" s="26">
        <f>M15/G15</f>
        <v>9.8360655737704916E-2</v>
      </c>
      <c r="K15">
        <f t="shared" si="0"/>
        <v>555</v>
      </c>
      <c r="L15">
        <f t="shared" si="1"/>
        <v>61</v>
      </c>
      <c r="M15">
        <f>D8+G8+J8+M8+P8</f>
        <v>6</v>
      </c>
      <c r="O15">
        <f t="shared" si="2"/>
        <v>2670</v>
      </c>
      <c r="P15" s="26">
        <f t="shared" si="3"/>
        <v>0.20786516853932585</v>
      </c>
      <c r="Q15" s="26">
        <f>L15/K15</f>
        <v>0.10990990990990991</v>
      </c>
      <c r="R15" s="26">
        <f>M15/G15</f>
        <v>9.8360655737704916E-2</v>
      </c>
    </row>
    <row r="16" spans="1:24" ht="42.65" customHeight="1" x14ac:dyDescent="0.35">
      <c r="A16" s="49" t="s">
        <v>258</v>
      </c>
      <c r="B16" s="457" t="s">
        <v>474</v>
      </c>
      <c r="C16" s="458"/>
      <c r="G16" s="54">
        <f>D9+G9+J9+M9+P9+S9+V9</f>
        <v>83</v>
      </c>
      <c r="H16" s="26">
        <f>M16/G16</f>
        <v>0.20481927710843373</v>
      </c>
      <c r="K16">
        <f t="shared" si="0"/>
        <v>968</v>
      </c>
      <c r="L16">
        <f t="shared" si="1"/>
        <v>109</v>
      </c>
      <c r="M16">
        <f>D9+G9+J9+M9+P9</f>
        <v>17</v>
      </c>
      <c r="O16">
        <f>B9+E9+H9+K9+N9+Q9+T9</f>
        <v>4989</v>
      </c>
      <c r="P16" s="26">
        <f t="shared" si="3"/>
        <v>0.19402685908999801</v>
      </c>
      <c r="Q16" s="26">
        <f>L16/K16</f>
        <v>0.11260330578512397</v>
      </c>
      <c r="R16" s="26">
        <f>M16/G16</f>
        <v>0.20481927710843373</v>
      </c>
    </row>
    <row r="17" spans="1:3" ht="40.5" customHeight="1" x14ac:dyDescent="0.35">
      <c r="A17" s="49" t="s">
        <v>259</v>
      </c>
      <c r="B17" s="457" t="s">
        <v>475</v>
      </c>
      <c r="C17" s="458"/>
    </row>
    <row r="18" spans="1:3" ht="35.15" customHeight="1" x14ac:dyDescent="0.35">
      <c r="A18" s="49" t="s">
        <v>476</v>
      </c>
      <c r="B18" s="457" t="s">
        <v>477</v>
      </c>
      <c r="C18" s="458"/>
    </row>
    <row r="19" spans="1:3" ht="39" customHeight="1" thickBot="1" x14ac:dyDescent="0.4">
      <c r="A19" s="50" t="s">
        <v>262</v>
      </c>
      <c r="B19" s="451" t="s">
        <v>478</v>
      </c>
      <c r="C19" s="452"/>
    </row>
  </sheetData>
  <mergeCells count="6">
    <mergeCell ref="B19:C19"/>
    <mergeCell ref="B14:C14"/>
    <mergeCell ref="B15:C15"/>
    <mergeCell ref="B16:C16"/>
    <mergeCell ref="B17:C17"/>
    <mergeCell ref="B18:C1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7A941-6332-4C47-ABBB-CFEDAD2C39AC}">
  <dimension ref="A1:AU17"/>
  <sheetViews>
    <sheetView zoomScale="60" zoomScaleNormal="60" workbookViewId="0">
      <selection activeCell="AH9" sqref="A1:AH9"/>
    </sheetView>
  </sheetViews>
  <sheetFormatPr defaultRowHeight="14.5" x14ac:dyDescent="0.35"/>
  <cols>
    <col min="1" max="1" width="13.1796875" customWidth="1"/>
    <col min="2" max="2" width="15.453125" customWidth="1"/>
    <col min="3" max="3" width="14.453125" customWidth="1"/>
    <col min="4" max="4" width="11" customWidth="1"/>
    <col min="5" max="5" width="15.54296875" customWidth="1"/>
    <col min="6" max="6" width="12.54296875" customWidth="1"/>
    <col min="7" max="7" width="11.1796875" customWidth="1"/>
    <col min="8" max="8" width="14.1796875" customWidth="1"/>
    <col min="9" max="9" width="14.453125" customWidth="1"/>
    <col min="10" max="10" width="13.453125" customWidth="1"/>
    <col min="11" max="11" width="14.81640625" customWidth="1"/>
    <col min="12" max="12" width="14" customWidth="1"/>
    <col min="13" max="13" width="12.54296875" customWidth="1"/>
    <col min="14" max="14" width="14.1796875" customWidth="1"/>
    <col min="15" max="15" width="13" customWidth="1"/>
    <col min="16" max="16" width="10.453125" customWidth="1"/>
    <col min="17" max="17" width="14.453125" customWidth="1"/>
    <col min="18" max="18" width="12.453125" customWidth="1"/>
    <col min="19" max="19" width="11.453125" customWidth="1"/>
    <col min="20" max="20" width="14.453125" customWidth="1"/>
    <col min="21" max="21" width="14.81640625" customWidth="1"/>
    <col min="22" max="22" width="13.453125" customWidth="1"/>
    <col min="23" max="23" width="14.1796875" customWidth="1"/>
    <col min="24" max="24" width="13" customWidth="1"/>
    <col min="25" max="25" width="10.54296875" customWidth="1"/>
    <col min="26" max="26" width="15.81640625" customWidth="1"/>
    <col min="27" max="27" width="13" customWidth="1"/>
    <col min="28" max="28" width="13.1796875" customWidth="1"/>
    <col min="29" max="29" width="15.453125" customWidth="1"/>
    <col min="30" max="30" width="14.1796875" customWidth="1"/>
    <col min="31" max="31" width="12.453125" customWidth="1"/>
    <col min="32" max="32" width="15.1796875" customWidth="1"/>
    <col min="33" max="33" width="13.453125" customWidth="1"/>
    <col min="34" max="34" width="12.81640625" customWidth="1"/>
  </cols>
  <sheetData>
    <row r="1" spans="1:47" x14ac:dyDescent="0.35">
      <c r="A1" s="6" t="s">
        <v>479</v>
      </c>
    </row>
    <row r="2" spans="1:47" x14ac:dyDescent="0.35">
      <c r="A2" s="6"/>
    </row>
    <row r="3" spans="1:47" ht="15" thickBot="1" x14ac:dyDescent="0.4"/>
    <row r="4" spans="1:47" ht="87.65" customHeight="1" x14ac:dyDescent="0.35">
      <c r="A4" s="51" t="s">
        <v>114</v>
      </c>
      <c r="B4" s="30" t="s">
        <v>385</v>
      </c>
      <c r="C4" s="31" t="s">
        <v>386</v>
      </c>
      <c r="D4" s="32" t="s">
        <v>480</v>
      </c>
      <c r="E4" s="30" t="s">
        <v>388</v>
      </c>
      <c r="F4" s="31" t="s">
        <v>389</v>
      </c>
      <c r="G4" s="32" t="s">
        <v>481</v>
      </c>
      <c r="H4" s="30" t="s">
        <v>391</v>
      </c>
      <c r="I4" s="31" t="s">
        <v>392</v>
      </c>
      <c r="J4" s="32" t="s">
        <v>482</v>
      </c>
      <c r="K4" s="30" t="s">
        <v>394</v>
      </c>
      <c r="L4" s="31" t="s">
        <v>483</v>
      </c>
      <c r="M4" s="32" t="s">
        <v>484</v>
      </c>
      <c r="N4" s="30" t="s">
        <v>397</v>
      </c>
      <c r="O4" s="31" t="s">
        <v>398</v>
      </c>
      <c r="P4" s="32" t="s">
        <v>485</v>
      </c>
      <c r="Q4" s="30" t="s">
        <v>400</v>
      </c>
      <c r="R4" s="31" t="s">
        <v>401</v>
      </c>
      <c r="S4" s="32" t="s">
        <v>486</v>
      </c>
      <c r="T4" s="30" t="s">
        <v>403</v>
      </c>
      <c r="U4" s="31" t="s">
        <v>404</v>
      </c>
      <c r="V4" s="32" t="s">
        <v>487</v>
      </c>
      <c r="W4" s="30" t="s">
        <v>406</v>
      </c>
      <c r="X4" s="31" t="s">
        <v>407</v>
      </c>
      <c r="Y4" s="32" t="s">
        <v>488</v>
      </c>
      <c r="Z4" s="30" t="s">
        <v>409</v>
      </c>
      <c r="AA4" s="31" t="s">
        <v>410</v>
      </c>
      <c r="AB4" s="32" t="s">
        <v>489</v>
      </c>
      <c r="AC4" s="30" t="s">
        <v>412</v>
      </c>
      <c r="AD4" s="31" t="s">
        <v>413</v>
      </c>
      <c r="AE4" s="32" t="s">
        <v>490</v>
      </c>
      <c r="AF4" s="30" t="s">
        <v>302</v>
      </c>
      <c r="AG4" s="31" t="s">
        <v>303</v>
      </c>
      <c r="AH4" s="32" t="s">
        <v>304</v>
      </c>
      <c r="AK4" s="12" t="s">
        <v>368</v>
      </c>
      <c r="AL4" s="12" t="s">
        <v>369</v>
      </c>
      <c r="AM4" s="12" t="s">
        <v>491</v>
      </c>
      <c r="AN4" s="12" t="s">
        <v>371</v>
      </c>
      <c r="AO4" s="12" t="s">
        <v>372</v>
      </c>
      <c r="AP4" s="12" t="s">
        <v>373</v>
      </c>
      <c r="AQ4" s="12" t="s">
        <v>374</v>
      </c>
      <c r="AR4" s="12" t="s">
        <v>375</v>
      </c>
      <c r="AS4" s="12" t="s">
        <v>376</v>
      </c>
      <c r="AT4" s="12" t="s">
        <v>380</v>
      </c>
      <c r="AU4" s="12" t="s">
        <v>171</v>
      </c>
    </row>
    <row r="5" spans="1:47" x14ac:dyDescent="0.35">
      <c r="A5" s="52">
        <v>44286</v>
      </c>
      <c r="B5" s="15">
        <v>18</v>
      </c>
      <c r="C5" s="4">
        <v>3</v>
      </c>
      <c r="D5" s="17">
        <v>0</v>
      </c>
      <c r="E5" s="15">
        <v>215</v>
      </c>
      <c r="F5" s="4">
        <v>14</v>
      </c>
      <c r="G5" s="17">
        <v>2</v>
      </c>
      <c r="H5" s="15">
        <v>58</v>
      </c>
      <c r="I5" s="4">
        <v>3</v>
      </c>
      <c r="J5" s="17">
        <v>1</v>
      </c>
      <c r="K5" s="15">
        <v>149</v>
      </c>
      <c r="L5" s="4">
        <v>11</v>
      </c>
      <c r="M5" s="17">
        <v>3</v>
      </c>
      <c r="N5" s="15">
        <v>9</v>
      </c>
      <c r="O5" s="4">
        <v>1</v>
      </c>
      <c r="P5" s="17">
        <v>0</v>
      </c>
      <c r="Q5" s="15">
        <v>8</v>
      </c>
      <c r="R5" s="4">
        <v>0</v>
      </c>
      <c r="S5" s="17">
        <v>0</v>
      </c>
      <c r="T5" s="15">
        <v>19</v>
      </c>
      <c r="U5" s="4">
        <v>2</v>
      </c>
      <c r="V5" s="17">
        <v>0</v>
      </c>
      <c r="W5" s="15">
        <v>1516</v>
      </c>
      <c r="X5" s="4">
        <v>100</v>
      </c>
      <c r="Y5" s="17">
        <v>22</v>
      </c>
      <c r="Z5" s="15">
        <v>0</v>
      </c>
      <c r="AA5" s="4">
        <v>0</v>
      </c>
      <c r="AB5" s="17">
        <v>0</v>
      </c>
      <c r="AC5" s="15">
        <v>2</v>
      </c>
      <c r="AD5" s="4">
        <v>0</v>
      </c>
      <c r="AE5" s="17">
        <v>0</v>
      </c>
      <c r="AF5" s="15">
        <v>297</v>
      </c>
      <c r="AG5" s="4">
        <v>18</v>
      </c>
      <c r="AH5" s="17">
        <v>2</v>
      </c>
      <c r="AJ5">
        <f>AH5+AE5+AB5+Y5+V5+S5+P5+M5+J5+G5+D5</f>
        <v>30</v>
      </c>
      <c r="AK5" s="56">
        <f>D5/31</f>
        <v>0</v>
      </c>
      <c r="AL5" s="56">
        <f>G5/31</f>
        <v>6.4516129032258063E-2</v>
      </c>
      <c r="AM5" s="56">
        <f>J5/31</f>
        <v>3.2258064516129031E-2</v>
      </c>
      <c r="AN5" s="56">
        <f>M5/31</f>
        <v>9.6774193548387094E-2</v>
      </c>
      <c r="AO5" s="56">
        <f>P5/31</f>
        <v>0</v>
      </c>
      <c r="AP5" s="56">
        <f>S5/31</f>
        <v>0</v>
      </c>
      <c r="AQ5" s="56">
        <f>V5/31</f>
        <v>0</v>
      </c>
      <c r="AR5" s="55">
        <f>Y5/31</f>
        <v>0.70967741935483875</v>
      </c>
      <c r="AS5" s="55">
        <f>0/31</f>
        <v>0</v>
      </c>
      <c r="AT5" s="55">
        <f>AE5/31</f>
        <v>0</v>
      </c>
      <c r="AU5" s="55">
        <f>AH5/31</f>
        <v>6.4516129032258063E-2</v>
      </c>
    </row>
    <row r="6" spans="1:47" x14ac:dyDescent="0.35">
      <c r="A6" s="52">
        <v>44651</v>
      </c>
      <c r="B6" s="15">
        <v>3</v>
      </c>
      <c r="C6" s="4">
        <v>0</v>
      </c>
      <c r="D6" s="17">
        <v>0</v>
      </c>
      <c r="E6" s="15">
        <v>62</v>
      </c>
      <c r="F6" s="4">
        <v>5</v>
      </c>
      <c r="G6" s="17">
        <v>2</v>
      </c>
      <c r="H6" s="15">
        <v>48</v>
      </c>
      <c r="I6" s="4">
        <v>9</v>
      </c>
      <c r="J6" s="17">
        <v>1</v>
      </c>
      <c r="K6" s="15">
        <v>39</v>
      </c>
      <c r="L6" s="4">
        <v>6</v>
      </c>
      <c r="M6" s="17">
        <v>1</v>
      </c>
      <c r="N6" s="15">
        <v>1</v>
      </c>
      <c r="O6" s="4">
        <v>0</v>
      </c>
      <c r="P6" s="17">
        <v>0</v>
      </c>
      <c r="Q6" s="15">
        <v>3</v>
      </c>
      <c r="R6" s="4">
        <v>0</v>
      </c>
      <c r="S6" s="17">
        <v>0</v>
      </c>
      <c r="T6" s="15">
        <v>7</v>
      </c>
      <c r="U6" s="4">
        <v>1</v>
      </c>
      <c r="V6" s="17">
        <v>1</v>
      </c>
      <c r="W6" s="15">
        <v>466</v>
      </c>
      <c r="X6" s="4">
        <v>72</v>
      </c>
      <c r="Y6" s="17">
        <v>21</v>
      </c>
      <c r="Z6" s="15">
        <v>0</v>
      </c>
      <c r="AA6" s="4">
        <v>0</v>
      </c>
      <c r="AB6" s="17">
        <v>0</v>
      </c>
      <c r="AC6" s="15">
        <v>19</v>
      </c>
      <c r="AD6" s="4">
        <v>4</v>
      </c>
      <c r="AE6" s="17">
        <v>0</v>
      </c>
      <c r="AF6" s="15">
        <v>304</v>
      </c>
      <c r="AG6" s="4">
        <v>99</v>
      </c>
      <c r="AH6" s="17">
        <v>33</v>
      </c>
      <c r="AJ6">
        <f t="shared" ref="AJ6:AJ9" si="0">AH6+AE6+AB6+Y6+V6+S6+P6+M6+J6+G6+D6</f>
        <v>59</v>
      </c>
      <c r="AK6" s="56">
        <f>D6/AJ6</f>
        <v>0</v>
      </c>
      <c r="AL6" s="56">
        <f>G6/AJ6</f>
        <v>3.3898305084745763E-2</v>
      </c>
      <c r="AM6" s="56">
        <f>J6/AJ6</f>
        <v>1.6949152542372881E-2</v>
      </c>
      <c r="AN6" s="56">
        <f>M6/AJ6</f>
        <v>1.6949152542372881E-2</v>
      </c>
      <c r="AO6" s="56">
        <f>P6/AJ6</f>
        <v>0</v>
      </c>
      <c r="AP6" s="56">
        <f>S6/AJ6</f>
        <v>0</v>
      </c>
      <c r="AQ6" s="56">
        <f>V6/AJ6</f>
        <v>1.6949152542372881E-2</v>
      </c>
      <c r="AR6" s="55">
        <f>Y6/AJ6</f>
        <v>0.3559322033898305</v>
      </c>
      <c r="AS6" s="55">
        <f>AB6/AJ6</f>
        <v>0</v>
      </c>
      <c r="AT6" s="55">
        <f>AE6/AJ6</f>
        <v>0</v>
      </c>
      <c r="AU6" s="55">
        <f>AH6/AJ6</f>
        <v>0.55932203389830504</v>
      </c>
    </row>
    <row r="7" spans="1:47" x14ac:dyDescent="0.35">
      <c r="A7" s="52">
        <v>45016</v>
      </c>
      <c r="B7" s="15">
        <v>7</v>
      </c>
      <c r="C7" s="4">
        <v>1</v>
      </c>
      <c r="D7" s="17">
        <v>0</v>
      </c>
      <c r="E7" s="15">
        <v>102</v>
      </c>
      <c r="F7" s="4">
        <v>15</v>
      </c>
      <c r="G7" s="17">
        <v>1</v>
      </c>
      <c r="H7" s="15">
        <v>110</v>
      </c>
      <c r="I7" s="4">
        <v>21</v>
      </c>
      <c r="J7" s="17">
        <v>0</v>
      </c>
      <c r="K7" s="15">
        <v>75</v>
      </c>
      <c r="L7" s="4">
        <v>21</v>
      </c>
      <c r="M7" s="17">
        <v>10</v>
      </c>
      <c r="N7" s="15">
        <v>13</v>
      </c>
      <c r="O7" s="4">
        <v>2</v>
      </c>
      <c r="P7" s="17">
        <v>1</v>
      </c>
      <c r="Q7" s="15">
        <v>8</v>
      </c>
      <c r="R7" s="4">
        <v>1</v>
      </c>
      <c r="S7" s="17">
        <v>0</v>
      </c>
      <c r="T7" s="15">
        <v>15</v>
      </c>
      <c r="U7" s="4">
        <v>2</v>
      </c>
      <c r="V7" s="17">
        <v>1</v>
      </c>
      <c r="W7" s="15">
        <v>793</v>
      </c>
      <c r="X7" s="4">
        <v>169</v>
      </c>
      <c r="Y7" s="17">
        <v>47</v>
      </c>
      <c r="Z7" s="15">
        <v>0</v>
      </c>
      <c r="AA7" s="4">
        <v>0</v>
      </c>
      <c r="AB7" s="17">
        <v>0</v>
      </c>
      <c r="AC7" s="15">
        <v>52</v>
      </c>
      <c r="AD7" s="4">
        <v>10</v>
      </c>
      <c r="AE7" s="17">
        <v>1</v>
      </c>
      <c r="AF7" s="15">
        <v>306</v>
      </c>
      <c r="AG7" s="4">
        <v>47</v>
      </c>
      <c r="AH7" s="17">
        <v>9</v>
      </c>
      <c r="AJ7">
        <f t="shared" si="0"/>
        <v>70</v>
      </c>
      <c r="AK7" s="55">
        <f>D7/77</f>
        <v>0</v>
      </c>
      <c r="AL7" s="55">
        <f>G7/7</f>
        <v>0.14285714285714285</v>
      </c>
      <c r="AM7" s="55">
        <f>J7/77</f>
        <v>0</v>
      </c>
      <c r="AN7" s="55">
        <f>M7/77</f>
        <v>0.12987012987012986</v>
      </c>
      <c r="AO7" s="55">
        <f>P7/77</f>
        <v>1.2987012987012988E-2</v>
      </c>
      <c r="AP7" s="55">
        <f>S7/77</f>
        <v>0</v>
      </c>
      <c r="AQ7" s="55">
        <f>V7/77</f>
        <v>1.2987012987012988E-2</v>
      </c>
      <c r="AR7" s="55">
        <f>Y7/77</f>
        <v>0.61038961038961037</v>
      </c>
      <c r="AS7" s="43">
        <f>AB7/77</f>
        <v>0</v>
      </c>
      <c r="AT7" s="55">
        <f>AE7/77</f>
        <v>1.2987012987012988E-2</v>
      </c>
      <c r="AU7" s="55">
        <f>AH7/77</f>
        <v>0.11688311688311688</v>
      </c>
    </row>
    <row r="8" spans="1:47" x14ac:dyDescent="0.35">
      <c r="A8" s="52">
        <v>45382</v>
      </c>
      <c r="B8" s="15">
        <v>16</v>
      </c>
      <c r="C8" s="4">
        <v>2</v>
      </c>
      <c r="D8" s="17">
        <v>0</v>
      </c>
      <c r="E8" s="15">
        <v>218</v>
      </c>
      <c r="F8" s="4">
        <v>32</v>
      </c>
      <c r="G8" s="17">
        <v>7</v>
      </c>
      <c r="H8" s="15">
        <v>378</v>
      </c>
      <c r="I8" s="4">
        <v>58</v>
      </c>
      <c r="J8" s="17">
        <v>8</v>
      </c>
      <c r="K8" s="15">
        <v>0</v>
      </c>
      <c r="L8" s="4">
        <v>0</v>
      </c>
      <c r="M8" s="17">
        <v>0</v>
      </c>
      <c r="N8" s="15">
        <v>69</v>
      </c>
      <c r="O8" s="4">
        <v>7</v>
      </c>
      <c r="P8" s="17">
        <v>1</v>
      </c>
      <c r="Q8" s="15">
        <v>11</v>
      </c>
      <c r="R8" s="4">
        <v>2</v>
      </c>
      <c r="S8" s="17">
        <v>1</v>
      </c>
      <c r="T8" s="15">
        <v>99</v>
      </c>
      <c r="U8" s="4">
        <v>7</v>
      </c>
      <c r="V8" s="17">
        <v>1</v>
      </c>
      <c r="W8" s="15">
        <v>1372</v>
      </c>
      <c r="X8" s="4">
        <v>252</v>
      </c>
      <c r="Y8" s="17">
        <v>27</v>
      </c>
      <c r="Z8" s="15">
        <v>0</v>
      </c>
      <c r="AA8" s="4">
        <v>0</v>
      </c>
      <c r="AB8" s="17">
        <v>0</v>
      </c>
      <c r="AC8" s="15">
        <v>84</v>
      </c>
      <c r="AD8" s="4">
        <v>13</v>
      </c>
      <c r="AE8" s="17">
        <v>3</v>
      </c>
      <c r="AF8" s="15">
        <v>423</v>
      </c>
      <c r="AG8" s="4">
        <v>85</v>
      </c>
      <c r="AH8" s="17">
        <v>13</v>
      </c>
      <c r="AJ8">
        <f t="shared" si="0"/>
        <v>61</v>
      </c>
      <c r="AK8" s="56">
        <f>D8/AJ8</f>
        <v>0</v>
      </c>
      <c r="AL8" s="56">
        <f>G8/AJ8</f>
        <v>0.11475409836065574</v>
      </c>
      <c r="AM8" s="56">
        <f>J8/AJ8</f>
        <v>0.13114754098360656</v>
      </c>
      <c r="AN8" s="56">
        <f>M8/AJ8</f>
        <v>0</v>
      </c>
      <c r="AO8" s="56">
        <f>P8/AJ8</f>
        <v>1.6393442622950821E-2</v>
      </c>
      <c r="AP8" s="56">
        <f>S8/AJ8</f>
        <v>1.6393442622950821E-2</v>
      </c>
      <c r="AQ8" s="56">
        <f>V8/AJ8</f>
        <v>1.6393442622950821E-2</v>
      </c>
      <c r="AR8" s="55">
        <f>Y8/AJ8</f>
        <v>0.44262295081967212</v>
      </c>
      <c r="AS8" s="55">
        <f t="shared" ref="AS8:AS9" si="1">AB8/AJ8</f>
        <v>0</v>
      </c>
      <c r="AT8" s="55">
        <f>AE8/AJ8</f>
        <v>4.9180327868852458E-2</v>
      </c>
      <c r="AU8" s="55">
        <f>AH8/AJ8</f>
        <v>0.21311475409836064</v>
      </c>
    </row>
    <row r="9" spans="1:47" ht="15" thickBot="1" x14ac:dyDescent="0.4">
      <c r="A9" s="53" t="s">
        <v>125</v>
      </c>
      <c r="B9" s="18">
        <v>45</v>
      </c>
      <c r="C9" s="19">
        <v>4</v>
      </c>
      <c r="D9" s="20">
        <v>1</v>
      </c>
      <c r="E9" s="18">
        <v>464</v>
      </c>
      <c r="F9" s="19">
        <v>67</v>
      </c>
      <c r="G9" s="20">
        <v>7</v>
      </c>
      <c r="H9" s="18">
        <v>606</v>
      </c>
      <c r="I9" s="19">
        <v>102</v>
      </c>
      <c r="J9" s="20">
        <v>6</v>
      </c>
      <c r="K9" s="18">
        <v>0</v>
      </c>
      <c r="L9" s="19">
        <v>0</v>
      </c>
      <c r="M9" s="20">
        <v>0</v>
      </c>
      <c r="N9" s="18">
        <v>142</v>
      </c>
      <c r="O9" s="19">
        <v>10</v>
      </c>
      <c r="P9" s="20">
        <v>2</v>
      </c>
      <c r="Q9" s="18">
        <v>37</v>
      </c>
      <c r="R9" s="19">
        <v>3</v>
      </c>
      <c r="S9" s="20">
        <v>2</v>
      </c>
      <c r="T9" s="18">
        <v>177</v>
      </c>
      <c r="U9" s="19">
        <v>19</v>
      </c>
      <c r="V9" s="20">
        <v>1</v>
      </c>
      <c r="W9" s="18">
        <v>2589</v>
      </c>
      <c r="X9" s="19">
        <v>452</v>
      </c>
      <c r="Y9" s="20">
        <v>49</v>
      </c>
      <c r="Z9" s="18">
        <v>0</v>
      </c>
      <c r="AA9" s="19">
        <v>0</v>
      </c>
      <c r="AB9" s="20">
        <v>0</v>
      </c>
      <c r="AC9" s="18">
        <v>136</v>
      </c>
      <c r="AD9" s="19">
        <v>21</v>
      </c>
      <c r="AE9" s="20">
        <v>1</v>
      </c>
      <c r="AF9" s="18">
        <v>803</v>
      </c>
      <c r="AG9" s="19">
        <v>111</v>
      </c>
      <c r="AH9" s="20">
        <v>14</v>
      </c>
      <c r="AJ9">
        <f t="shared" si="0"/>
        <v>83</v>
      </c>
      <c r="AK9" s="56">
        <f>D9/AJ9</f>
        <v>1.2048192771084338E-2</v>
      </c>
      <c r="AL9" s="56">
        <f>G9/AJ9</f>
        <v>8.4337349397590355E-2</v>
      </c>
      <c r="AM9" s="56">
        <f>J9/AJ9</f>
        <v>7.2289156626506021E-2</v>
      </c>
      <c r="AN9" s="56">
        <f>M9/AJ9</f>
        <v>0</v>
      </c>
      <c r="AO9" s="56">
        <f>P9/AJ9</f>
        <v>2.4096385542168676E-2</v>
      </c>
      <c r="AP9" s="56">
        <f>S9/AJ9</f>
        <v>2.4096385542168676E-2</v>
      </c>
      <c r="AQ9" s="56">
        <f>V9/AJ9</f>
        <v>1.2048192771084338E-2</v>
      </c>
      <c r="AR9" s="55">
        <f>Y9/AJ9</f>
        <v>0.59036144578313254</v>
      </c>
      <c r="AS9" s="55">
        <f t="shared" si="1"/>
        <v>0</v>
      </c>
      <c r="AT9" s="55">
        <f>AE9/AJ9</f>
        <v>1.2048192771084338E-2</v>
      </c>
      <c r="AU9" s="55">
        <f>AH9/AJ9</f>
        <v>0.16867469879518071</v>
      </c>
    </row>
    <row r="10" spans="1:47" x14ac:dyDescent="0.35">
      <c r="AL10" s="26"/>
      <c r="AO10" s="26"/>
      <c r="AP10" s="26"/>
      <c r="AQ10" s="26"/>
    </row>
    <row r="11" spans="1:47" x14ac:dyDescent="0.35">
      <c r="A11" s="22" t="s">
        <v>159</v>
      </c>
    </row>
    <row r="13" spans="1:47" x14ac:dyDescent="0.35">
      <c r="B13">
        <f>B5+E5+H5+K5+N5+Q5+T5+W5+Z5+AC5+AF5</f>
        <v>2291</v>
      </c>
    </row>
    <row r="14" spans="1:47" x14ac:dyDescent="0.35">
      <c r="B14">
        <f>B6+E6+H6+K6+N6+Q6+T6+W6+Z6+AC6+AF6</f>
        <v>952</v>
      </c>
    </row>
    <row r="15" spans="1:47" x14ac:dyDescent="0.35">
      <c r="B15">
        <f>B7+E7+H7+K7+N7+Q7+T7+W7+Z7+AC7+AF7</f>
        <v>1481</v>
      </c>
    </row>
    <row r="16" spans="1:47" x14ac:dyDescent="0.35">
      <c r="B16">
        <f>B8+E8+H8+K8+N8+Q8+T8+W8+Z8+AC8+AF8</f>
        <v>2670</v>
      </c>
    </row>
    <row r="17" spans="2:2" x14ac:dyDescent="0.35">
      <c r="B17">
        <f>B9+E9+H9+K9+N9+Q9+T9+W9+Z9+AC9+AF9</f>
        <v>4999</v>
      </c>
    </row>
  </sheetData>
  <pageMargins left="0.7" right="0.7" top="0.75" bottom="0.75" header="0.3" footer="0.3"/>
  <ignoredErrors>
    <ignoredError sqref="AK7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A5B22-B874-46E9-8BD2-F2FC48C2F2AA}">
  <dimension ref="A1:AA23"/>
  <sheetViews>
    <sheetView topLeftCell="D4" zoomScale="90" zoomScaleNormal="90" workbookViewId="0">
      <selection activeCell="H18" sqref="H18"/>
    </sheetView>
  </sheetViews>
  <sheetFormatPr defaultRowHeight="14.5" x14ac:dyDescent="0.35"/>
  <cols>
    <col min="1" max="1" width="18.54296875" customWidth="1"/>
    <col min="2" max="4" width="11.81640625" customWidth="1"/>
    <col min="5" max="5" width="10.81640625" customWidth="1"/>
    <col min="6" max="6" width="10.54296875" customWidth="1"/>
    <col min="8" max="8" width="13.54296875" customWidth="1"/>
    <col min="9" max="9" width="10.453125" customWidth="1"/>
    <col min="11" max="11" width="11.453125" customWidth="1"/>
    <col min="12" max="12" width="10.1796875" customWidth="1"/>
    <col min="13" max="13" width="9.54296875" customWidth="1"/>
    <col min="14" max="14" width="11.81640625" customWidth="1"/>
    <col min="15" max="15" width="12.453125" customWidth="1"/>
    <col min="16" max="16" width="9.54296875" customWidth="1"/>
    <col min="19" max="19" width="10.54296875" customWidth="1"/>
    <col min="20" max="20" width="10.81640625" customWidth="1"/>
    <col min="22" max="22" width="10.453125" customWidth="1"/>
  </cols>
  <sheetData>
    <row r="1" spans="1:27" x14ac:dyDescent="0.35">
      <c r="A1" s="6" t="s">
        <v>492</v>
      </c>
    </row>
    <row r="2" spans="1:27" ht="15" thickBot="1" x14ac:dyDescent="0.4">
      <c r="A2" s="6"/>
    </row>
    <row r="3" spans="1:27" ht="72.5" x14ac:dyDescent="0.35">
      <c r="A3" s="23" t="s">
        <v>114</v>
      </c>
      <c r="B3" s="57" t="s">
        <v>493</v>
      </c>
      <c r="C3" s="31" t="s">
        <v>494</v>
      </c>
      <c r="D3" s="32" t="s">
        <v>495</v>
      </c>
      <c r="E3" s="57" t="s">
        <v>496</v>
      </c>
      <c r="F3" s="31" t="s">
        <v>497</v>
      </c>
      <c r="G3" s="32" t="s">
        <v>498</v>
      </c>
      <c r="H3" s="57" t="s">
        <v>499</v>
      </c>
      <c r="I3" s="31" t="s">
        <v>500</v>
      </c>
      <c r="J3" s="32" t="s">
        <v>501</v>
      </c>
      <c r="K3" s="57" t="s">
        <v>502</v>
      </c>
      <c r="L3" s="31" t="s">
        <v>503</v>
      </c>
      <c r="M3" s="32" t="s">
        <v>504</v>
      </c>
      <c r="N3" s="30" t="s">
        <v>302</v>
      </c>
      <c r="O3" s="31" t="s">
        <v>303</v>
      </c>
      <c r="P3" s="32" t="s">
        <v>304</v>
      </c>
      <c r="X3" s="10"/>
      <c r="Y3" s="10"/>
      <c r="Z3" s="10"/>
      <c r="AA3" s="10"/>
    </row>
    <row r="4" spans="1:27" x14ac:dyDescent="0.35">
      <c r="A4" s="58">
        <v>44286</v>
      </c>
      <c r="B4" s="15">
        <v>1552</v>
      </c>
      <c r="C4" s="4">
        <v>101</v>
      </c>
      <c r="D4" s="17">
        <v>23</v>
      </c>
      <c r="E4" s="15">
        <v>171</v>
      </c>
      <c r="F4" s="4">
        <v>11</v>
      </c>
      <c r="G4" s="17">
        <v>2</v>
      </c>
      <c r="H4" s="15">
        <v>226</v>
      </c>
      <c r="I4" s="4">
        <v>8</v>
      </c>
      <c r="J4" s="17">
        <v>1</v>
      </c>
      <c r="K4" s="15">
        <v>50</v>
      </c>
      <c r="L4" s="4">
        <v>3</v>
      </c>
      <c r="M4" s="17">
        <v>1</v>
      </c>
      <c r="N4" s="15">
        <f>191+331</f>
        <v>522</v>
      </c>
      <c r="O4" s="4">
        <f>29+9</f>
        <v>38</v>
      </c>
      <c r="P4" s="17">
        <v>4</v>
      </c>
    </row>
    <row r="5" spans="1:27" x14ac:dyDescent="0.35">
      <c r="A5" s="58">
        <v>44651</v>
      </c>
      <c r="B5" s="15">
        <v>481</v>
      </c>
      <c r="C5" s="4">
        <v>84</v>
      </c>
      <c r="D5" s="17">
        <v>24</v>
      </c>
      <c r="E5" s="15">
        <v>34</v>
      </c>
      <c r="F5" s="4">
        <v>7</v>
      </c>
      <c r="G5" s="17">
        <v>4</v>
      </c>
      <c r="H5" s="15">
        <v>104</v>
      </c>
      <c r="I5" s="4">
        <v>9</v>
      </c>
      <c r="J5" s="17">
        <v>1</v>
      </c>
      <c r="K5" s="15">
        <v>20</v>
      </c>
      <c r="L5" s="4">
        <v>2</v>
      </c>
      <c r="M5" s="17">
        <v>1</v>
      </c>
      <c r="N5" s="15">
        <v>313</v>
      </c>
      <c r="O5" s="4">
        <v>94</v>
      </c>
      <c r="P5" s="17">
        <v>29</v>
      </c>
    </row>
    <row r="6" spans="1:27" x14ac:dyDescent="0.35">
      <c r="A6" s="58">
        <v>45016</v>
      </c>
      <c r="B6" s="15">
        <v>918</v>
      </c>
      <c r="C6" s="4">
        <v>193</v>
      </c>
      <c r="D6" s="17">
        <v>56</v>
      </c>
      <c r="E6" s="15">
        <v>82</v>
      </c>
      <c r="F6" s="4">
        <v>16</v>
      </c>
      <c r="G6" s="17">
        <v>3</v>
      </c>
      <c r="H6" s="15">
        <v>159</v>
      </c>
      <c r="I6" s="4">
        <v>36</v>
      </c>
      <c r="J6" s="17">
        <v>7</v>
      </c>
      <c r="K6" s="15">
        <v>42</v>
      </c>
      <c r="L6" s="4">
        <v>4</v>
      </c>
      <c r="M6" s="17">
        <v>1</v>
      </c>
      <c r="N6" s="15">
        <v>281</v>
      </c>
      <c r="O6" s="4">
        <v>41</v>
      </c>
      <c r="P6" s="17">
        <v>10</v>
      </c>
    </row>
    <row r="7" spans="1:27" x14ac:dyDescent="0.35">
      <c r="A7" s="58">
        <v>45382</v>
      </c>
      <c r="B7" s="15">
        <v>1682</v>
      </c>
      <c r="C7" s="4">
        <v>283</v>
      </c>
      <c r="D7" s="17">
        <v>32</v>
      </c>
      <c r="E7" s="15">
        <v>134</v>
      </c>
      <c r="F7" s="4">
        <v>25</v>
      </c>
      <c r="G7" s="17">
        <v>4</v>
      </c>
      <c r="H7" s="15">
        <v>323</v>
      </c>
      <c r="I7" s="4">
        <v>55</v>
      </c>
      <c r="J7" s="17">
        <v>6</v>
      </c>
      <c r="K7" s="15">
        <v>72</v>
      </c>
      <c r="L7" s="4">
        <v>13</v>
      </c>
      <c r="M7" s="17">
        <v>3</v>
      </c>
      <c r="N7" s="15">
        <v>459</v>
      </c>
      <c r="O7" s="4">
        <v>82</v>
      </c>
      <c r="P7" s="17">
        <v>16</v>
      </c>
    </row>
    <row r="8" spans="1:27" ht="15" thickBot="1" x14ac:dyDescent="0.4">
      <c r="A8" s="59" t="s">
        <v>125</v>
      </c>
      <c r="B8" s="18">
        <v>3245</v>
      </c>
      <c r="C8" s="19">
        <v>526</v>
      </c>
      <c r="D8" s="20">
        <v>53</v>
      </c>
      <c r="E8" s="18">
        <v>261</v>
      </c>
      <c r="F8" s="19">
        <v>49</v>
      </c>
      <c r="G8" s="20">
        <v>3</v>
      </c>
      <c r="H8" s="18">
        <v>720</v>
      </c>
      <c r="I8" s="19">
        <v>97</v>
      </c>
      <c r="J8" s="20">
        <v>14</v>
      </c>
      <c r="K8" s="18">
        <v>68</v>
      </c>
      <c r="L8" s="19">
        <v>10</v>
      </c>
      <c r="M8" s="20">
        <v>0</v>
      </c>
      <c r="N8" s="18">
        <v>705</v>
      </c>
      <c r="O8" s="19">
        <v>107</v>
      </c>
      <c r="P8" s="20">
        <v>13</v>
      </c>
    </row>
    <row r="10" spans="1:27" x14ac:dyDescent="0.35">
      <c r="A10" s="22" t="s">
        <v>159</v>
      </c>
    </row>
    <row r="13" spans="1:27" x14ac:dyDescent="0.35">
      <c r="B13" s="353" t="s">
        <v>195</v>
      </c>
      <c r="C13" s="353"/>
      <c r="D13" s="353"/>
      <c r="E13" s="353"/>
      <c r="F13" s="353"/>
      <c r="H13" s="353" t="s">
        <v>138</v>
      </c>
      <c r="I13" s="353"/>
      <c r="J13" s="353"/>
      <c r="K13" s="353"/>
      <c r="L13" s="353"/>
      <c r="O13" s="415" t="s">
        <v>432</v>
      </c>
      <c r="P13" s="416"/>
      <c r="Q13" s="416"/>
      <c r="R13" s="416"/>
      <c r="S13" s="417"/>
    </row>
    <row r="14" spans="1:27" ht="43" customHeight="1" x14ac:dyDescent="0.35">
      <c r="B14" s="9" t="s">
        <v>328</v>
      </c>
      <c r="C14" s="9" t="s">
        <v>329</v>
      </c>
      <c r="D14" s="9" t="s">
        <v>330</v>
      </c>
      <c r="E14" s="9" t="s">
        <v>331</v>
      </c>
      <c r="F14" s="9" t="s">
        <v>171</v>
      </c>
      <c r="G14" s="10"/>
      <c r="H14" s="9" t="s">
        <v>328</v>
      </c>
      <c r="I14" s="9" t="s">
        <v>329</v>
      </c>
      <c r="J14" s="9" t="s">
        <v>330</v>
      </c>
      <c r="K14" s="9" t="s">
        <v>331</v>
      </c>
      <c r="L14" s="9" t="s">
        <v>171</v>
      </c>
      <c r="N14" s="4"/>
      <c r="O14" s="9" t="s">
        <v>328</v>
      </c>
      <c r="P14" s="9" t="s">
        <v>329</v>
      </c>
      <c r="Q14" s="9" t="s">
        <v>330</v>
      </c>
      <c r="R14" s="9" t="s">
        <v>331</v>
      </c>
      <c r="S14" s="9" t="s">
        <v>171</v>
      </c>
    </row>
    <row r="15" spans="1:27" x14ac:dyDescent="0.35">
      <c r="A15">
        <f>B4+E4+H4+K4+N4</f>
        <v>2521</v>
      </c>
      <c r="B15" s="5">
        <f>B4/A15</f>
        <v>0.61562871876239589</v>
      </c>
      <c r="C15" s="5">
        <f>E4/A15</f>
        <v>6.7830226100753663E-2</v>
      </c>
      <c r="D15" s="5">
        <f>H4/A15</f>
        <v>8.9646965489884961E-2</v>
      </c>
      <c r="E15" s="5">
        <f>K4/A15</f>
        <v>1.9833399444664817E-2</v>
      </c>
      <c r="F15" s="5">
        <f>N4/A15</f>
        <v>0.20706069020230067</v>
      </c>
      <c r="G15">
        <f>C4+F4+I4+L4+O4</f>
        <v>161</v>
      </c>
      <c r="H15" s="5">
        <f>C4/G15</f>
        <v>0.62732919254658381</v>
      </c>
      <c r="I15" s="5">
        <f>F4/G15</f>
        <v>6.8322981366459631E-2</v>
      </c>
      <c r="J15" s="5">
        <f>I4/G15</f>
        <v>4.9689440993788817E-2</v>
      </c>
      <c r="K15" s="5">
        <f>L4/G15</f>
        <v>1.8633540372670808E-2</v>
      </c>
      <c r="L15" s="5">
        <f>O4/G15</f>
        <v>0.2360248447204969</v>
      </c>
      <c r="N15" s="82">
        <f>D4+G4+J4+M4+P4</f>
        <v>31</v>
      </c>
      <c r="O15" s="5">
        <f>D4/N15</f>
        <v>0.74193548387096775</v>
      </c>
      <c r="P15" s="5">
        <f>G4/N15</f>
        <v>6.4516129032258063E-2</v>
      </c>
      <c r="Q15" s="5">
        <f>J4/N15</f>
        <v>3.2258064516129031E-2</v>
      </c>
      <c r="R15" s="5">
        <f>M4/N15</f>
        <v>3.2258064516129031E-2</v>
      </c>
      <c r="S15" s="5">
        <f>P4/N15</f>
        <v>0.12903225806451613</v>
      </c>
    </row>
    <row r="16" spans="1:27" x14ac:dyDescent="0.35">
      <c r="A16">
        <f t="shared" ref="A16:A19" si="0">B5+E5+H5+K5+N5</f>
        <v>952</v>
      </c>
      <c r="B16" s="5">
        <f t="shared" ref="B16:B19" si="1">B5/A16</f>
        <v>0.50525210084033612</v>
      </c>
      <c r="C16" s="5">
        <f t="shared" ref="C16:C19" si="2">E5/A16</f>
        <v>3.5714285714285712E-2</v>
      </c>
      <c r="D16" s="5">
        <f t="shared" ref="D16:D19" si="3">H5/A16</f>
        <v>0.1092436974789916</v>
      </c>
      <c r="E16" s="5">
        <f t="shared" ref="E16:E19" si="4">K5/A16</f>
        <v>2.100840336134454E-2</v>
      </c>
      <c r="F16" s="5">
        <f t="shared" ref="F16:F19" si="5">N5/A16</f>
        <v>0.32878151260504201</v>
      </c>
      <c r="G16">
        <f t="shared" ref="G16:G19" si="6">C5+F5+I5+L5+O5</f>
        <v>196</v>
      </c>
      <c r="H16" s="5">
        <f t="shared" ref="H16:H19" si="7">C5/G16</f>
        <v>0.42857142857142855</v>
      </c>
      <c r="I16" s="5">
        <f t="shared" ref="I16:I19" si="8">F5/G16</f>
        <v>3.5714285714285712E-2</v>
      </c>
      <c r="J16" s="5">
        <f t="shared" ref="J16:J19" si="9">I5/G16</f>
        <v>4.5918367346938778E-2</v>
      </c>
      <c r="K16" s="5">
        <f t="shared" ref="K16:K19" si="10">L5/G16</f>
        <v>1.020408163265306E-2</v>
      </c>
      <c r="L16" s="5">
        <f t="shared" ref="L16:L19" si="11">O5/G16</f>
        <v>0.47959183673469385</v>
      </c>
      <c r="N16" s="82">
        <f>D5+G5+J5+M5+P5</f>
        <v>59</v>
      </c>
      <c r="O16" s="5">
        <f>D5/N16</f>
        <v>0.40677966101694918</v>
      </c>
      <c r="P16" s="5">
        <f>G5/N16</f>
        <v>6.7796610169491525E-2</v>
      </c>
      <c r="Q16" s="5">
        <f>J5/N16</f>
        <v>1.6949152542372881E-2</v>
      </c>
      <c r="R16" s="5">
        <f>M5/N16</f>
        <v>1.6949152542372881E-2</v>
      </c>
      <c r="S16" s="5">
        <f>P5/N16</f>
        <v>0.49152542372881358</v>
      </c>
    </row>
    <row r="17" spans="1:19" x14ac:dyDescent="0.35">
      <c r="A17">
        <f t="shared" si="0"/>
        <v>1482</v>
      </c>
      <c r="B17" s="5">
        <f t="shared" si="1"/>
        <v>0.61943319838056676</v>
      </c>
      <c r="C17" s="5">
        <f t="shared" si="2"/>
        <v>5.5330634278002701E-2</v>
      </c>
      <c r="D17" s="5">
        <f t="shared" si="3"/>
        <v>0.10728744939271255</v>
      </c>
      <c r="E17" s="5">
        <f t="shared" si="4"/>
        <v>2.8340080971659919E-2</v>
      </c>
      <c r="F17" s="5">
        <f t="shared" si="5"/>
        <v>0.18960863697705804</v>
      </c>
      <c r="G17">
        <f t="shared" si="6"/>
        <v>290</v>
      </c>
      <c r="H17" s="5">
        <f t="shared" si="7"/>
        <v>0.66551724137931034</v>
      </c>
      <c r="I17" s="5">
        <f t="shared" si="8"/>
        <v>5.5172413793103448E-2</v>
      </c>
      <c r="J17" s="5">
        <f t="shared" si="9"/>
        <v>0.12413793103448276</v>
      </c>
      <c r="K17" s="5">
        <f t="shared" si="10"/>
        <v>1.3793103448275862E-2</v>
      </c>
      <c r="L17" s="5">
        <f t="shared" si="11"/>
        <v>0.14137931034482759</v>
      </c>
      <c r="N17" s="82">
        <f>D6+G6+J6+M6+P6</f>
        <v>77</v>
      </c>
      <c r="O17" s="5">
        <f>D6/N17</f>
        <v>0.72727272727272729</v>
      </c>
      <c r="P17" s="5">
        <f>G6/N17</f>
        <v>3.896103896103896E-2</v>
      </c>
      <c r="Q17" s="5">
        <f>J6/N17</f>
        <v>9.0909090909090912E-2</v>
      </c>
      <c r="R17" s="5">
        <f>M6/N17</f>
        <v>1.2987012987012988E-2</v>
      </c>
      <c r="S17" s="5">
        <f>P6/N17</f>
        <v>0.12987012987012986</v>
      </c>
    </row>
    <row r="18" spans="1:19" x14ac:dyDescent="0.35">
      <c r="A18">
        <f t="shared" si="0"/>
        <v>2670</v>
      </c>
      <c r="B18" s="5">
        <f t="shared" si="1"/>
        <v>0.62996254681647945</v>
      </c>
      <c r="C18" s="5">
        <f t="shared" si="2"/>
        <v>5.0187265917602995E-2</v>
      </c>
      <c r="D18" s="5">
        <f t="shared" si="3"/>
        <v>0.12097378277153559</v>
      </c>
      <c r="E18" s="5">
        <f t="shared" si="4"/>
        <v>2.6966292134831461E-2</v>
      </c>
      <c r="F18" s="5">
        <f t="shared" si="5"/>
        <v>0.17191011235955056</v>
      </c>
      <c r="G18">
        <f t="shared" si="6"/>
        <v>458</v>
      </c>
      <c r="H18" s="5">
        <f t="shared" si="7"/>
        <v>0.61790393013100442</v>
      </c>
      <c r="I18" s="5">
        <f t="shared" si="8"/>
        <v>5.458515283842795E-2</v>
      </c>
      <c r="J18" s="5">
        <f t="shared" si="9"/>
        <v>0.12008733624454149</v>
      </c>
      <c r="K18" s="5">
        <f t="shared" si="10"/>
        <v>2.8384279475982533E-2</v>
      </c>
      <c r="L18" s="5">
        <f t="shared" si="11"/>
        <v>0.17903930131004367</v>
      </c>
      <c r="N18" s="82">
        <f>D7+G7+J7+M7+P7</f>
        <v>61</v>
      </c>
      <c r="O18" s="5">
        <f>D7/N18</f>
        <v>0.52459016393442626</v>
      </c>
      <c r="P18" s="5">
        <f>G7/N18</f>
        <v>6.5573770491803282E-2</v>
      </c>
      <c r="Q18" s="5">
        <f>J7/N18</f>
        <v>9.8360655737704916E-2</v>
      </c>
      <c r="R18" s="5">
        <f>M7/N18</f>
        <v>4.9180327868852458E-2</v>
      </c>
      <c r="S18" s="5">
        <f>P7/N18</f>
        <v>0.26229508196721313</v>
      </c>
    </row>
    <row r="19" spans="1:19" x14ac:dyDescent="0.35">
      <c r="A19">
        <f t="shared" si="0"/>
        <v>4999</v>
      </c>
      <c r="B19" s="5">
        <f t="shared" si="1"/>
        <v>0.64912982596519309</v>
      </c>
      <c r="C19" s="5">
        <f t="shared" si="2"/>
        <v>5.2210442088417686E-2</v>
      </c>
      <c r="D19" s="5">
        <f t="shared" si="3"/>
        <v>0.14402880576115223</v>
      </c>
      <c r="E19" s="5">
        <f t="shared" si="4"/>
        <v>1.3602720544108821E-2</v>
      </c>
      <c r="F19" s="5">
        <f t="shared" si="5"/>
        <v>0.14102820564112822</v>
      </c>
      <c r="G19">
        <f t="shared" si="6"/>
        <v>789</v>
      </c>
      <c r="H19" s="5">
        <f t="shared" si="7"/>
        <v>0.66666666666666663</v>
      </c>
      <c r="I19" s="5">
        <f t="shared" si="8"/>
        <v>6.2103929024081114E-2</v>
      </c>
      <c r="J19" s="5">
        <f t="shared" si="9"/>
        <v>0.12294043092522181</v>
      </c>
      <c r="K19" s="5">
        <f t="shared" si="10"/>
        <v>1.2674271229404309E-2</v>
      </c>
      <c r="L19" s="5">
        <f t="shared" si="11"/>
        <v>0.13561470215462612</v>
      </c>
      <c r="N19" s="82">
        <f>D8+G8+J8+M8+P8</f>
        <v>83</v>
      </c>
      <c r="O19" s="5">
        <f>D8/N19</f>
        <v>0.63855421686746983</v>
      </c>
      <c r="P19" s="5">
        <f>G8/N19</f>
        <v>3.614457831325301E-2</v>
      </c>
      <c r="Q19" s="5">
        <f>J8/N19</f>
        <v>0.16867469879518071</v>
      </c>
      <c r="R19" s="5">
        <f>M8/N19</f>
        <v>0</v>
      </c>
      <c r="S19" s="5">
        <f>P8/N19</f>
        <v>0.15662650602409639</v>
      </c>
    </row>
    <row r="21" spans="1:19" x14ac:dyDescent="0.35">
      <c r="N21" s="83"/>
      <c r="O21" s="84"/>
    </row>
    <row r="22" spans="1:19" x14ac:dyDescent="0.35">
      <c r="N22" s="26">
        <f>53/31</f>
        <v>1.7096774193548387</v>
      </c>
    </row>
    <row r="23" spans="1:19" x14ac:dyDescent="0.35">
      <c r="N23">
        <f>52/83</f>
        <v>0.62650602409638556</v>
      </c>
      <c r="O23">
        <f>83-61</f>
        <v>22</v>
      </c>
    </row>
  </sheetData>
  <mergeCells count="3">
    <mergeCell ref="B13:F13"/>
    <mergeCell ref="H13:L13"/>
    <mergeCell ref="O13:S1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3264F-2583-43F2-A0E4-9C45873F2F50}">
  <dimension ref="A1:S20"/>
  <sheetViews>
    <sheetView zoomScale="80" zoomScaleNormal="80" workbookViewId="0">
      <selection sqref="A1:S9"/>
    </sheetView>
  </sheetViews>
  <sheetFormatPr defaultRowHeight="14.5" x14ac:dyDescent="0.35"/>
  <cols>
    <col min="1" max="1" width="14.453125" customWidth="1"/>
    <col min="2" max="2" width="11.54296875" customWidth="1"/>
    <col min="3" max="3" width="10.54296875" customWidth="1"/>
    <col min="4" max="4" width="11.81640625" customWidth="1"/>
    <col min="5" max="5" width="12.453125" customWidth="1"/>
    <col min="6" max="6" width="12.54296875" customWidth="1"/>
    <col min="7" max="7" width="10.81640625" customWidth="1"/>
    <col min="8" max="9" width="12.81640625" customWidth="1"/>
    <col min="10" max="10" width="12.453125" customWidth="1"/>
    <col min="11" max="11" width="12.81640625" customWidth="1"/>
    <col min="12" max="12" width="14.453125" customWidth="1"/>
    <col min="13" max="13" width="13.54296875" customWidth="1"/>
    <col min="14" max="14" width="14.54296875" customWidth="1"/>
    <col min="15" max="16" width="14.1796875" customWidth="1"/>
    <col min="17" max="17" width="11.54296875" customWidth="1"/>
    <col min="18" max="18" width="12.54296875" customWidth="1"/>
    <col min="19" max="19" width="12.1796875" customWidth="1"/>
  </cols>
  <sheetData>
    <row r="1" spans="1:19" x14ac:dyDescent="0.35">
      <c r="A1" s="6" t="s">
        <v>505</v>
      </c>
    </row>
    <row r="3" spans="1:19" ht="15" thickBot="1" x14ac:dyDescent="0.4"/>
    <row r="4" spans="1:19" ht="116.5" thickBot="1" x14ac:dyDescent="0.4">
      <c r="A4" s="25" t="s">
        <v>114</v>
      </c>
      <c r="B4" s="27" t="s">
        <v>506</v>
      </c>
      <c r="C4" s="28" t="s">
        <v>507</v>
      </c>
      <c r="D4" s="29" t="s">
        <v>508</v>
      </c>
      <c r="E4" s="27" t="s">
        <v>509</v>
      </c>
      <c r="F4" s="28" t="s">
        <v>510</v>
      </c>
      <c r="G4" s="29" t="s">
        <v>511</v>
      </c>
      <c r="H4" s="27" t="s">
        <v>512</v>
      </c>
      <c r="I4" s="28" t="s">
        <v>513</v>
      </c>
      <c r="J4" s="29" t="s">
        <v>514</v>
      </c>
      <c r="K4" s="27" t="s">
        <v>515</v>
      </c>
      <c r="L4" s="28" t="s">
        <v>516</v>
      </c>
      <c r="M4" s="29" t="s">
        <v>517</v>
      </c>
      <c r="N4" s="27" t="s">
        <v>518</v>
      </c>
      <c r="O4" s="28" t="s">
        <v>519</v>
      </c>
      <c r="P4" s="29" t="s">
        <v>520</v>
      </c>
      <c r="Q4" s="27" t="s">
        <v>302</v>
      </c>
      <c r="R4" s="28" t="s">
        <v>303</v>
      </c>
      <c r="S4" s="29" t="s">
        <v>304</v>
      </c>
    </row>
    <row r="5" spans="1:19" x14ac:dyDescent="0.35">
      <c r="A5" s="24">
        <v>44286</v>
      </c>
      <c r="B5" s="60">
        <v>40</v>
      </c>
      <c r="C5" s="61">
        <v>3</v>
      </c>
      <c r="D5" s="62">
        <v>0</v>
      </c>
      <c r="E5" s="60">
        <f>35+426</f>
        <v>461</v>
      </c>
      <c r="F5" s="61">
        <f>3+42</f>
        <v>45</v>
      </c>
      <c r="G5" s="62">
        <v>5</v>
      </c>
      <c r="H5" s="60">
        <f>1429+468</f>
        <v>1897</v>
      </c>
      <c r="I5" s="61">
        <f>69+33</f>
        <v>102</v>
      </c>
      <c r="J5" s="62">
        <f>17+9</f>
        <v>26</v>
      </c>
      <c r="K5" s="60">
        <v>15</v>
      </c>
      <c r="L5" s="61">
        <v>0</v>
      </c>
      <c r="M5" s="62">
        <v>0</v>
      </c>
      <c r="N5" s="60">
        <v>2</v>
      </c>
      <c r="O5" s="61">
        <v>0</v>
      </c>
      <c r="P5" s="62">
        <v>0</v>
      </c>
      <c r="Q5" s="60">
        <v>110</v>
      </c>
      <c r="R5" s="61">
        <v>11</v>
      </c>
      <c r="S5" s="62">
        <v>0</v>
      </c>
    </row>
    <row r="6" spans="1:19" x14ac:dyDescent="0.35">
      <c r="A6" s="24">
        <v>44651</v>
      </c>
      <c r="B6" s="60">
        <v>29</v>
      </c>
      <c r="C6" s="61">
        <v>3</v>
      </c>
      <c r="D6" s="62">
        <v>2</v>
      </c>
      <c r="E6" s="60">
        <f>121+15+1</f>
        <v>137</v>
      </c>
      <c r="F6" s="61">
        <f>5+28+1</f>
        <v>34</v>
      </c>
      <c r="G6" s="62">
        <f>1+10+1</f>
        <v>12</v>
      </c>
      <c r="H6" s="60">
        <f>383+144</f>
        <v>527</v>
      </c>
      <c r="I6" s="61">
        <f>52+20</f>
        <v>72</v>
      </c>
      <c r="J6" s="62">
        <f>14+4</f>
        <v>18</v>
      </c>
      <c r="K6" s="60">
        <v>4</v>
      </c>
      <c r="L6" s="61">
        <v>1</v>
      </c>
      <c r="M6" s="62">
        <v>1</v>
      </c>
      <c r="N6" s="60">
        <v>0</v>
      </c>
      <c r="O6" s="61">
        <v>0</v>
      </c>
      <c r="P6" s="62">
        <v>0</v>
      </c>
      <c r="Q6" s="60">
        <v>255</v>
      </c>
      <c r="R6" s="61">
        <v>86</v>
      </c>
      <c r="S6" s="62">
        <v>22</v>
      </c>
    </row>
    <row r="7" spans="1:19" x14ac:dyDescent="0.35">
      <c r="A7" s="24">
        <v>45016</v>
      </c>
      <c r="B7" s="60">
        <v>43</v>
      </c>
      <c r="C7" s="61">
        <v>11</v>
      </c>
      <c r="D7" s="62">
        <v>1</v>
      </c>
      <c r="E7" s="60">
        <v>273</v>
      </c>
      <c r="F7" s="61">
        <v>81</v>
      </c>
      <c r="G7" s="62">
        <v>25</v>
      </c>
      <c r="H7" s="60">
        <f>646+196</f>
        <v>842</v>
      </c>
      <c r="I7" s="61">
        <f>100+45</f>
        <v>145</v>
      </c>
      <c r="J7" s="62">
        <f>27+15</f>
        <v>42</v>
      </c>
      <c r="K7" s="60">
        <v>2</v>
      </c>
      <c r="L7" s="61">
        <v>1</v>
      </c>
      <c r="M7" s="62">
        <v>0</v>
      </c>
      <c r="N7" s="60">
        <v>2</v>
      </c>
      <c r="O7" s="61">
        <v>0</v>
      </c>
      <c r="P7" s="62">
        <v>0</v>
      </c>
      <c r="Q7" s="60">
        <v>322</v>
      </c>
      <c r="R7" s="61">
        <v>51</v>
      </c>
      <c r="S7" s="62">
        <v>9</v>
      </c>
    </row>
    <row r="8" spans="1:19" x14ac:dyDescent="0.35">
      <c r="A8" s="24">
        <v>45382</v>
      </c>
      <c r="B8" s="60">
        <v>54</v>
      </c>
      <c r="C8" s="61">
        <v>6</v>
      </c>
      <c r="D8" s="62">
        <v>1</v>
      </c>
      <c r="E8" s="60">
        <v>625</v>
      </c>
      <c r="F8" s="61">
        <v>119</v>
      </c>
      <c r="G8" s="62">
        <v>13</v>
      </c>
      <c r="H8" s="60">
        <v>1625</v>
      </c>
      <c r="I8" s="61">
        <v>251</v>
      </c>
      <c r="J8" s="62">
        <v>34</v>
      </c>
      <c r="K8" s="60">
        <v>15</v>
      </c>
      <c r="L8" s="61">
        <v>3</v>
      </c>
      <c r="M8" s="62">
        <v>1</v>
      </c>
      <c r="N8" s="60">
        <v>8</v>
      </c>
      <c r="O8" s="61">
        <v>4</v>
      </c>
      <c r="P8" s="62">
        <v>1</v>
      </c>
      <c r="Q8" s="60">
        <v>343</v>
      </c>
      <c r="R8" s="61">
        <v>75</v>
      </c>
      <c r="S8" s="62">
        <v>11</v>
      </c>
    </row>
    <row r="9" spans="1:19" ht="15" thickBot="1" x14ac:dyDescent="0.4">
      <c r="A9" s="24" t="s">
        <v>125</v>
      </c>
      <c r="B9" s="63">
        <v>193</v>
      </c>
      <c r="C9" s="64">
        <v>39</v>
      </c>
      <c r="D9" s="65">
        <v>4</v>
      </c>
      <c r="E9" s="63">
        <v>1175</v>
      </c>
      <c r="F9" s="64">
        <v>204</v>
      </c>
      <c r="G9" s="65">
        <v>24</v>
      </c>
      <c r="H9" s="63">
        <v>2906</v>
      </c>
      <c r="I9" s="64">
        <v>434</v>
      </c>
      <c r="J9" s="65">
        <v>42</v>
      </c>
      <c r="K9" s="63">
        <v>8</v>
      </c>
      <c r="L9" s="64">
        <v>4</v>
      </c>
      <c r="M9" s="65">
        <v>1</v>
      </c>
      <c r="N9" s="63">
        <v>20</v>
      </c>
      <c r="O9" s="64">
        <v>5</v>
      </c>
      <c r="P9" s="65">
        <v>2</v>
      </c>
      <c r="Q9" s="63">
        <v>64</v>
      </c>
      <c r="R9" s="64">
        <v>94</v>
      </c>
      <c r="S9" s="65">
        <v>6</v>
      </c>
    </row>
    <row r="15" spans="1:19" ht="112.5" customHeight="1" x14ac:dyDescent="0.35">
      <c r="B15" s="4"/>
      <c r="C15" s="9" t="str">
        <f>D4</f>
        <v>Divorced or Civil Partnership Dissolved - Selected</v>
      </c>
      <c r="D15" s="9" t="str">
        <f>G4</f>
        <v>Married or in a registered Civil Partnership - Selected</v>
      </c>
      <c r="E15" s="9" t="str">
        <f>J4</f>
        <v>Never married and never registered in a Civil Partnership - Selected</v>
      </c>
      <c r="F15" s="9" t="str">
        <f>M4</f>
        <v>Separated, but still legally married or still legally in a Civil Partnership - Appointed</v>
      </c>
      <c r="G15" s="9" t="str">
        <f>P4</f>
        <v>Widowed or surviving civil partnership partner - Selected</v>
      </c>
      <c r="H15" s="9" t="str">
        <f>S4</f>
        <v>Prefer not to say - Selected</v>
      </c>
      <c r="I15" s="66"/>
      <c r="J15" s="66"/>
      <c r="K15" s="66"/>
      <c r="L15" s="66"/>
      <c r="M15" s="66"/>
    </row>
    <row r="16" spans="1:19" x14ac:dyDescent="0.35">
      <c r="B16" s="61">
        <f>S5+P5+M5+J5+G5+D5</f>
        <v>31</v>
      </c>
      <c r="C16" s="5">
        <f>D5/B16</f>
        <v>0</v>
      </c>
      <c r="D16" s="5">
        <f>G5/B16</f>
        <v>0.16129032258064516</v>
      </c>
      <c r="E16" s="5">
        <f>J5/B16</f>
        <v>0.83870967741935487</v>
      </c>
      <c r="F16" s="5">
        <f>M5/B16</f>
        <v>0</v>
      </c>
      <c r="G16" s="5">
        <f>P5/B16</f>
        <v>0</v>
      </c>
      <c r="H16" s="5">
        <f>S5/B16</f>
        <v>0</v>
      </c>
    </row>
    <row r="17" spans="2:8" x14ac:dyDescent="0.35">
      <c r="B17" s="61">
        <v>59</v>
      </c>
      <c r="C17" s="5">
        <f t="shared" ref="C17:C20" si="0">D6/B17</f>
        <v>3.3898305084745763E-2</v>
      </c>
      <c r="D17" s="5">
        <f t="shared" ref="D17:D20" si="1">G6/B17</f>
        <v>0.20338983050847459</v>
      </c>
      <c r="E17" s="5">
        <f t="shared" ref="E17:E20" si="2">J6/B17</f>
        <v>0.30508474576271188</v>
      </c>
      <c r="F17" s="5">
        <f t="shared" ref="F17:F20" si="3">M6/B17</f>
        <v>1.6949152542372881E-2</v>
      </c>
      <c r="G17" s="5">
        <f t="shared" ref="G17:G20" si="4">P6/B17</f>
        <v>0</v>
      </c>
      <c r="H17" s="5">
        <f t="shared" ref="H17:H20" si="5">S6/B17</f>
        <v>0.3728813559322034</v>
      </c>
    </row>
    <row r="18" spans="2:8" x14ac:dyDescent="0.35">
      <c r="B18" s="61">
        <f>S7+P7+M7+J7+G7+D7</f>
        <v>77</v>
      </c>
      <c r="C18" s="5">
        <f t="shared" si="0"/>
        <v>1.2987012987012988E-2</v>
      </c>
      <c r="D18" s="5">
        <f t="shared" si="1"/>
        <v>0.32467532467532467</v>
      </c>
      <c r="E18" s="5">
        <f t="shared" si="2"/>
        <v>0.54545454545454541</v>
      </c>
      <c r="F18" s="5">
        <f t="shared" si="3"/>
        <v>0</v>
      </c>
      <c r="G18" s="5">
        <f t="shared" si="4"/>
        <v>0</v>
      </c>
      <c r="H18" s="5">
        <f t="shared" si="5"/>
        <v>0.11688311688311688</v>
      </c>
    </row>
    <row r="19" spans="2:8" x14ac:dyDescent="0.35">
      <c r="B19" s="61">
        <f>S8+P8+M8+J8+G8+D8</f>
        <v>61</v>
      </c>
      <c r="C19" s="5">
        <f t="shared" si="0"/>
        <v>1.6393442622950821E-2</v>
      </c>
      <c r="D19" s="5">
        <f t="shared" si="1"/>
        <v>0.21311475409836064</v>
      </c>
      <c r="E19" s="5">
        <f t="shared" si="2"/>
        <v>0.55737704918032782</v>
      </c>
      <c r="F19" s="5">
        <f t="shared" si="3"/>
        <v>1.6393442622950821E-2</v>
      </c>
      <c r="G19" s="5">
        <f t="shared" si="4"/>
        <v>1.6393442622950821E-2</v>
      </c>
      <c r="H19" s="5">
        <f t="shared" si="5"/>
        <v>0.18032786885245902</v>
      </c>
    </row>
    <row r="20" spans="2:8" x14ac:dyDescent="0.35">
      <c r="B20" s="61">
        <f>S9+P9+M9+J9+G9+D9</f>
        <v>79</v>
      </c>
      <c r="C20" s="5">
        <f t="shared" si="0"/>
        <v>5.0632911392405063E-2</v>
      </c>
      <c r="D20" s="5">
        <f t="shared" si="1"/>
        <v>0.30379746835443039</v>
      </c>
      <c r="E20" s="5">
        <f t="shared" si="2"/>
        <v>0.53164556962025311</v>
      </c>
      <c r="F20" s="5">
        <f t="shared" si="3"/>
        <v>1.2658227848101266E-2</v>
      </c>
      <c r="G20" s="5">
        <f t="shared" si="4"/>
        <v>2.5316455696202531E-2</v>
      </c>
      <c r="H20" s="5">
        <f t="shared" si="5"/>
        <v>7.5949367088607597E-2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2CB53-1B44-424C-AA81-1133B571D987}">
  <dimension ref="A1:AN68"/>
  <sheetViews>
    <sheetView showGridLines="0" zoomScale="80" zoomScaleNormal="80" workbookViewId="0">
      <selection sqref="A1:D1"/>
    </sheetView>
  </sheetViews>
  <sheetFormatPr defaultRowHeight="14.5" x14ac:dyDescent="0.35"/>
  <cols>
    <col min="1" max="1" width="18.453125" style="150" customWidth="1"/>
    <col min="2" max="2" width="15.1796875" style="2" customWidth="1"/>
    <col min="3" max="3" width="13.54296875" style="2" customWidth="1"/>
    <col min="4" max="4" width="13.453125" style="2" customWidth="1"/>
    <col min="5" max="5" width="15.54296875" customWidth="1"/>
    <col min="6" max="6" width="11.453125" style="2" customWidth="1"/>
    <col min="7" max="7" width="9.81640625" style="2" bestFit="1" customWidth="1"/>
    <col min="8" max="8" width="11.453125" customWidth="1"/>
    <col min="9" max="9" width="10.81640625" customWidth="1"/>
    <col min="10" max="10" width="13.54296875" customWidth="1"/>
    <col min="11" max="11" width="11.54296875" customWidth="1"/>
    <col min="13" max="13" width="10.1796875" customWidth="1"/>
    <col min="16" max="16" width="11.453125" customWidth="1"/>
    <col min="17" max="17" width="13.1796875" customWidth="1"/>
    <col min="18" max="18" width="11.1796875" customWidth="1"/>
    <col min="19" max="19" width="10.81640625" customWidth="1"/>
    <col min="20" max="20" width="12.81640625" customWidth="1"/>
    <col min="21" max="21" width="12.453125" customWidth="1"/>
    <col min="22" max="22" width="10.81640625" customWidth="1"/>
    <col min="23" max="23" width="11.54296875" customWidth="1"/>
  </cols>
  <sheetData>
    <row r="1" spans="1:40" ht="17.5" customHeight="1" x14ac:dyDescent="0.35">
      <c r="A1" s="348" t="s">
        <v>110</v>
      </c>
      <c r="B1" s="348"/>
      <c r="C1" s="348"/>
      <c r="D1" s="348"/>
    </row>
    <row r="2" spans="1:40" x14ac:dyDescent="0.35">
      <c r="H2" s="352"/>
      <c r="I2" s="352"/>
      <c r="J2" s="352"/>
      <c r="K2" s="352"/>
      <c r="L2" s="352"/>
      <c r="M2" s="352"/>
      <c r="N2" s="352"/>
      <c r="O2" s="352"/>
    </row>
    <row r="3" spans="1:40" x14ac:dyDescent="0.35">
      <c r="A3" s="150" t="s">
        <v>1</v>
      </c>
      <c r="B3" s="349" t="s">
        <v>2</v>
      </c>
      <c r="C3" s="349"/>
      <c r="D3" s="349"/>
      <c r="E3" s="349"/>
      <c r="F3" s="349"/>
      <c r="G3" s="349"/>
      <c r="H3" s="349"/>
      <c r="I3" s="349"/>
      <c r="J3" s="349"/>
      <c r="K3" s="349"/>
      <c r="L3" s="153"/>
      <c r="M3" s="153"/>
      <c r="N3" s="153"/>
      <c r="O3" s="153"/>
    </row>
    <row r="4" spans="1:40" x14ac:dyDescent="0.35">
      <c r="H4" s="153"/>
      <c r="I4" s="153"/>
      <c r="J4" s="153"/>
      <c r="K4" s="153"/>
      <c r="L4" s="153"/>
      <c r="M4" s="153"/>
      <c r="N4" s="153"/>
      <c r="O4" s="153"/>
    </row>
    <row r="5" spans="1:40" ht="14.5" customHeight="1" x14ac:dyDescent="0.35">
      <c r="A5" s="357"/>
      <c r="B5" s="356" t="s">
        <v>111</v>
      </c>
      <c r="C5" s="356"/>
      <c r="D5" s="356"/>
      <c r="E5" s="356"/>
      <c r="F5" s="356"/>
      <c r="G5" s="356"/>
      <c r="H5" s="355" t="s">
        <v>112</v>
      </c>
      <c r="I5" s="355"/>
      <c r="J5" s="356" t="s">
        <v>113</v>
      </c>
      <c r="K5" s="356"/>
      <c r="L5" s="157"/>
      <c r="M5" s="157"/>
      <c r="N5" s="157"/>
      <c r="O5" s="157"/>
      <c r="P5" s="143"/>
      <c r="Q5" s="143"/>
      <c r="R5" s="143"/>
      <c r="S5" s="143"/>
      <c r="T5" s="143"/>
      <c r="U5" s="143"/>
      <c r="V5" s="143"/>
      <c r="W5" s="143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</row>
    <row r="6" spans="1:40" ht="28" customHeight="1" x14ac:dyDescent="0.35">
      <c r="A6" s="358"/>
      <c r="B6" s="356"/>
      <c r="C6" s="356"/>
      <c r="D6" s="356"/>
      <c r="E6" s="356"/>
      <c r="F6" s="356"/>
      <c r="G6" s="356"/>
      <c r="H6" s="355"/>
      <c r="I6" s="355"/>
      <c r="J6" s="356"/>
      <c r="K6" s="356"/>
      <c r="L6" s="158"/>
      <c r="M6" s="158"/>
      <c r="N6" s="159"/>
      <c r="O6" s="159"/>
      <c r="P6" s="141"/>
      <c r="Q6" s="141"/>
      <c r="R6" s="141"/>
      <c r="S6" s="141"/>
      <c r="T6" s="144"/>
      <c r="U6" s="144"/>
      <c r="V6" s="145"/>
      <c r="W6" s="145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</row>
    <row r="7" spans="1:40" ht="29" x14ac:dyDescent="0.35">
      <c r="A7" s="160" t="s">
        <v>114</v>
      </c>
      <c r="B7" s="4" t="s">
        <v>115</v>
      </c>
      <c r="C7" s="4" t="s">
        <v>116</v>
      </c>
      <c r="D7" s="4" t="s">
        <v>117</v>
      </c>
      <c r="E7" s="121" t="s">
        <v>118</v>
      </c>
      <c r="F7" s="4" t="s">
        <v>119</v>
      </c>
      <c r="G7" s="4" t="s">
        <v>120</v>
      </c>
      <c r="H7" s="161" t="s">
        <v>121</v>
      </c>
      <c r="I7" s="161" t="s">
        <v>122</v>
      </c>
      <c r="J7" s="4" t="s">
        <v>123</v>
      </c>
      <c r="K7" s="4" t="s">
        <v>124</v>
      </c>
      <c r="L7" s="162"/>
      <c r="M7" s="163"/>
      <c r="N7" s="162"/>
      <c r="O7" s="163"/>
      <c r="P7" s="139"/>
      <c r="Q7" s="139"/>
      <c r="R7" s="139"/>
      <c r="S7" s="139"/>
      <c r="T7" s="139"/>
      <c r="U7" s="139"/>
      <c r="V7" s="139"/>
      <c r="W7" s="139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</row>
    <row r="8" spans="1:40" x14ac:dyDescent="0.35">
      <c r="A8" s="160">
        <v>43555</v>
      </c>
      <c r="B8" s="4">
        <v>470</v>
      </c>
      <c r="C8" s="164">
        <v>0.92</v>
      </c>
      <c r="D8" s="164">
        <v>0.08</v>
      </c>
      <c r="E8" s="173"/>
      <c r="F8" s="164">
        <v>0.75</v>
      </c>
      <c r="G8" s="164">
        <v>0.25</v>
      </c>
      <c r="H8" s="4">
        <v>16</v>
      </c>
      <c r="I8" s="4">
        <v>3.5</v>
      </c>
      <c r="J8" s="165"/>
      <c r="K8" s="165"/>
      <c r="L8" s="43"/>
      <c r="N8" s="43"/>
      <c r="P8" s="142"/>
      <c r="Q8" s="142"/>
      <c r="R8" s="142"/>
      <c r="S8" s="142"/>
      <c r="T8" s="146"/>
      <c r="U8" s="126"/>
      <c r="V8" s="146"/>
      <c r="W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</row>
    <row r="9" spans="1:40" x14ac:dyDescent="0.35">
      <c r="A9" s="160">
        <v>43921</v>
      </c>
      <c r="B9" s="4">
        <v>463</v>
      </c>
      <c r="C9" s="164">
        <v>0.94</v>
      </c>
      <c r="D9" s="164">
        <v>0.06</v>
      </c>
      <c r="E9" s="173"/>
      <c r="F9" s="164">
        <v>0.75</v>
      </c>
      <c r="G9" s="164">
        <v>0.25</v>
      </c>
      <c r="H9" s="4">
        <v>10</v>
      </c>
      <c r="I9" s="4">
        <v>2.1</v>
      </c>
      <c r="J9" s="165"/>
      <c r="K9" s="165"/>
      <c r="L9" s="43"/>
      <c r="N9" s="43"/>
      <c r="P9" s="142"/>
      <c r="Q9" s="142"/>
      <c r="R9" s="142"/>
      <c r="S9" s="142"/>
      <c r="T9" s="146"/>
      <c r="U9" s="126"/>
      <c r="V9" s="146"/>
      <c r="W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</row>
    <row r="10" spans="1:40" x14ac:dyDescent="0.35">
      <c r="A10" s="160">
        <v>44286</v>
      </c>
      <c r="B10" s="4">
        <v>466</v>
      </c>
      <c r="C10" s="164">
        <v>0.94</v>
      </c>
      <c r="D10" s="164">
        <v>0.06</v>
      </c>
      <c r="E10" s="173"/>
      <c r="F10" s="164">
        <v>0.73</v>
      </c>
      <c r="G10" s="164">
        <v>0.27</v>
      </c>
      <c r="H10" s="4">
        <v>12</v>
      </c>
      <c r="I10" s="4">
        <v>2.6</v>
      </c>
      <c r="J10" s="165"/>
      <c r="K10" s="165"/>
      <c r="L10" s="43"/>
      <c r="N10" s="43"/>
      <c r="P10" s="142"/>
      <c r="Q10" s="142"/>
      <c r="R10" s="142"/>
      <c r="S10" s="142"/>
      <c r="T10" s="146"/>
      <c r="U10" s="126"/>
      <c r="V10" s="146"/>
      <c r="W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</row>
    <row r="11" spans="1:40" x14ac:dyDescent="0.35">
      <c r="A11" s="160">
        <v>44651</v>
      </c>
      <c r="B11" s="4">
        <v>478</v>
      </c>
      <c r="C11" s="164">
        <v>0.93</v>
      </c>
      <c r="D11" s="164">
        <v>7.0000000000000007E-2</v>
      </c>
      <c r="E11" s="173"/>
      <c r="F11" s="164">
        <v>0.6</v>
      </c>
      <c r="G11" s="164">
        <v>0.4</v>
      </c>
      <c r="H11" s="4">
        <v>16</v>
      </c>
      <c r="I11" s="4">
        <v>3.4</v>
      </c>
      <c r="J11" s="165"/>
      <c r="K11" s="165"/>
      <c r="L11" s="43"/>
      <c r="N11" s="43"/>
      <c r="P11" s="142"/>
      <c r="Q11" s="142"/>
      <c r="R11" s="142"/>
      <c r="S11" s="142"/>
      <c r="T11" s="146"/>
      <c r="U11" s="126"/>
      <c r="V11" s="146"/>
      <c r="W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</row>
    <row r="12" spans="1:40" x14ac:dyDescent="0.35">
      <c r="A12" s="160">
        <v>45016</v>
      </c>
      <c r="B12" s="4">
        <v>484</v>
      </c>
      <c r="C12" s="164">
        <v>0.91</v>
      </c>
      <c r="D12" s="164">
        <v>0.09</v>
      </c>
      <c r="E12" s="173"/>
      <c r="F12" s="164">
        <v>0.72</v>
      </c>
      <c r="G12" s="164">
        <v>0.28000000000000003</v>
      </c>
      <c r="H12" s="4">
        <v>14</v>
      </c>
      <c r="I12" s="4">
        <v>2.38</v>
      </c>
      <c r="J12" s="165"/>
      <c r="K12" s="165"/>
      <c r="L12" s="43"/>
      <c r="N12" s="43"/>
      <c r="P12" s="142"/>
      <c r="Q12" s="142"/>
      <c r="R12" s="142"/>
      <c r="S12" s="142"/>
      <c r="T12" s="146"/>
      <c r="U12" s="126"/>
      <c r="V12" s="146"/>
      <c r="W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</row>
    <row r="13" spans="1:40" x14ac:dyDescent="0.35">
      <c r="A13" s="160">
        <v>45382</v>
      </c>
      <c r="B13" s="4">
        <v>483</v>
      </c>
      <c r="C13" s="164">
        <v>0.92</v>
      </c>
      <c r="D13" s="164">
        <v>0.08</v>
      </c>
      <c r="E13" s="173"/>
      <c r="F13" s="164">
        <v>0.73</v>
      </c>
      <c r="G13" s="164">
        <v>0.27</v>
      </c>
      <c r="H13" s="4">
        <v>19</v>
      </c>
      <c r="I13" s="4">
        <v>3.9</v>
      </c>
      <c r="J13" s="166">
        <v>51</v>
      </c>
      <c r="K13" s="166">
        <v>49</v>
      </c>
      <c r="L13" s="167"/>
      <c r="M13" s="2"/>
      <c r="N13" s="167"/>
      <c r="O13" s="2"/>
      <c r="P13" s="148"/>
      <c r="Q13" s="148"/>
      <c r="R13" s="149"/>
      <c r="S13" s="149"/>
      <c r="T13" s="147"/>
      <c r="U13" s="125"/>
      <c r="V13" s="147"/>
      <c r="W13" s="125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</row>
    <row r="14" spans="1:40" x14ac:dyDescent="0.35">
      <c r="A14" s="160" t="s">
        <v>125</v>
      </c>
      <c r="B14" s="4">
        <v>485</v>
      </c>
      <c r="C14" s="164">
        <v>0.94</v>
      </c>
      <c r="D14" s="164">
        <v>0.05</v>
      </c>
      <c r="E14" s="5">
        <f>3/485</f>
        <v>6.1855670103092781E-3</v>
      </c>
      <c r="F14" s="164">
        <v>0.7</v>
      </c>
      <c r="G14" s="164">
        <v>0.3</v>
      </c>
      <c r="H14" s="4">
        <v>15</v>
      </c>
      <c r="I14" s="4">
        <v>3.1</v>
      </c>
      <c r="J14" s="61">
        <v>55</v>
      </c>
      <c r="K14" s="61">
        <v>45</v>
      </c>
      <c r="L14" s="167"/>
      <c r="M14" s="2"/>
      <c r="N14" s="167"/>
      <c r="O14" s="2"/>
      <c r="P14" s="148"/>
      <c r="Q14" s="148"/>
      <c r="R14" s="148"/>
      <c r="S14" s="148"/>
      <c r="T14" s="147"/>
      <c r="U14" s="125"/>
      <c r="V14" s="147"/>
      <c r="W14" s="125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</row>
    <row r="15" spans="1:40" x14ac:dyDescent="0.35">
      <c r="A15" s="168"/>
      <c r="B15" s="43"/>
      <c r="C15" s="169"/>
      <c r="D15" s="169"/>
      <c r="E15" s="170"/>
      <c r="F15" s="169"/>
      <c r="G15" s="169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</row>
    <row r="16" spans="1:40" x14ac:dyDescent="0.35">
      <c r="A16" s="168" t="s">
        <v>3</v>
      </c>
      <c r="B16" s="171" t="s">
        <v>4</v>
      </c>
      <c r="C16" s="169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</row>
    <row r="17" spans="1:40" x14ac:dyDescent="0.35"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</row>
    <row r="18" spans="1:40" hidden="1" x14ac:dyDescent="0.35">
      <c r="B18" s="353" t="s">
        <v>126</v>
      </c>
      <c r="C18" s="353"/>
      <c r="D18" s="353"/>
      <c r="E18" s="353"/>
      <c r="F18" s="353"/>
      <c r="G18" s="353"/>
      <c r="H18" s="353"/>
      <c r="I18" s="353"/>
      <c r="J18" s="353"/>
      <c r="K18" s="353"/>
      <c r="L18" s="353"/>
      <c r="M18" s="353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</row>
    <row r="19" spans="1:40" hidden="1" x14ac:dyDescent="0.35">
      <c r="A19" s="172" t="s">
        <v>127</v>
      </c>
      <c r="B19" s="173">
        <v>8</v>
      </c>
      <c r="C19" s="173">
        <v>7</v>
      </c>
      <c r="D19" s="173">
        <v>6</v>
      </c>
      <c r="E19" s="173">
        <v>5</v>
      </c>
      <c r="F19" s="173">
        <v>4</v>
      </c>
      <c r="G19" s="173">
        <v>3</v>
      </c>
      <c r="H19" s="173">
        <v>2</v>
      </c>
      <c r="I19" s="173">
        <v>1</v>
      </c>
      <c r="J19" s="173" t="s">
        <v>128</v>
      </c>
      <c r="K19" s="173" t="s">
        <v>129</v>
      </c>
      <c r="L19" s="173" t="s">
        <v>130</v>
      </c>
      <c r="M19" s="173" t="s">
        <v>131</v>
      </c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</row>
    <row r="20" spans="1:40" hidden="1" x14ac:dyDescent="0.35">
      <c r="A20" s="172" t="s">
        <v>132</v>
      </c>
      <c r="B20" s="4">
        <v>7</v>
      </c>
      <c r="C20" s="4">
        <v>92</v>
      </c>
      <c r="D20" s="4">
        <v>60</v>
      </c>
      <c r="E20" s="4">
        <v>41</v>
      </c>
      <c r="F20" s="4">
        <v>56</v>
      </c>
      <c r="G20" s="4">
        <v>39</v>
      </c>
      <c r="H20" s="4">
        <v>16</v>
      </c>
      <c r="I20" s="4">
        <v>11</v>
      </c>
      <c r="J20" s="4">
        <v>6</v>
      </c>
      <c r="K20" s="4">
        <v>6</v>
      </c>
      <c r="L20" s="4">
        <v>3</v>
      </c>
      <c r="M20" s="4">
        <v>1</v>
      </c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</row>
    <row r="21" spans="1:40" hidden="1" x14ac:dyDescent="0.35">
      <c r="A21" s="172" t="s">
        <v>133</v>
      </c>
      <c r="B21" s="4">
        <v>35</v>
      </c>
      <c r="C21" s="4">
        <v>52</v>
      </c>
      <c r="D21" s="4">
        <v>14</v>
      </c>
      <c r="E21" s="4">
        <v>14</v>
      </c>
      <c r="F21" s="4">
        <v>23</v>
      </c>
      <c r="G21" s="4">
        <v>4</v>
      </c>
      <c r="H21" s="4">
        <v>2</v>
      </c>
      <c r="I21" s="4">
        <v>0</v>
      </c>
      <c r="J21" s="4">
        <v>2</v>
      </c>
      <c r="K21" s="4">
        <v>0</v>
      </c>
      <c r="L21" s="4">
        <v>1</v>
      </c>
      <c r="M21" s="4">
        <v>0</v>
      </c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</row>
    <row r="22" spans="1:40" hidden="1" x14ac:dyDescent="0.35">
      <c r="B22" s="116">
        <f>SUM(B20:B21)</f>
        <v>42</v>
      </c>
      <c r="C22" s="116">
        <f t="shared" ref="C22:M22" si="0">SUM(C20:C21)</f>
        <v>144</v>
      </c>
      <c r="D22" s="116">
        <f t="shared" si="0"/>
        <v>74</v>
      </c>
      <c r="E22" s="116">
        <f t="shared" si="0"/>
        <v>55</v>
      </c>
      <c r="F22" s="116">
        <f t="shared" si="0"/>
        <v>79</v>
      </c>
      <c r="G22" s="116">
        <f t="shared" si="0"/>
        <v>43</v>
      </c>
      <c r="H22" s="116">
        <f t="shared" si="0"/>
        <v>18</v>
      </c>
      <c r="I22" s="116">
        <f t="shared" si="0"/>
        <v>11</v>
      </c>
      <c r="J22" s="116">
        <f t="shared" si="0"/>
        <v>8</v>
      </c>
      <c r="K22" s="116">
        <f t="shared" si="0"/>
        <v>6</v>
      </c>
      <c r="L22" s="116">
        <f t="shared" si="0"/>
        <v>4</v>
      </c>
      <c r="M22" s="116">
        <f t="shared" si="0"/>
        <v>1</v>
      </c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</row>
    <row r="23" spans="1:40" x14ac:dyDescent="0.35">
      <c r="B23" s="353" t="s">
        <v>134</v>
      </c>
      <c r="C23" s="353"/>
      <c r="D23" s="353"/>
      <c r="E23" s="353"/>
      <c r="F23" s="353"/>
      <c r="G23" s="353"/>
      <c r="H23" s="353"/>
      <c r="I23" s="353"/>
      <c r="J23" s="353"/>
      <c r="K23" s="353"/>
      <c r="L23" s="353"/>
      <c r="M23" s="353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  <c r="AM23" s="126"/>
      <c r="AN23" s="126"/>
    </row>
    <row r="24" spans="1:40" x14ac:dyDescent="0.35">
      <c r="A24" s="172" t="s">
        <v>127</v>
      </c>
      <c r="B24" s="173">
        <v>8</v>
      </c>
      <c r="C24" s="173">
        <v>7</v>
      </c>
      <c r="D24" s="173">
        <v>6</v>
      </c>
      <c r="E24" s="173">
        <v>5</v>
      </c>
      <c r="F24" s="173">
        <v>4</v>
      </c>
      <c r="G24" s="173">
        <v>3</v>
      </c>
      <c r="H24" s="173">
        <v>2</v>
      </c>
      <c r="I24" s="173">
        <v>1</v>
      </c>
      <c r="J24" s="173" t="s">
        <v>128</v>
      </c>
      <c r="K24" s="173" t="s">
        <v>129</v>
      </c>
      <c r="L24" s="173" t="s">
        <v>130</v>
      </c>
      <c r="M24" s="173" t="s">
        <v>131</v>
      </c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  <c r="AM24" s="126"/>
      <c r="AN24" s="126"/>
    </row>
    <row r="25" spans="1:40" x14ac:dyDescent="0.35">
      <c r="A25" s="172" t="s">
        <v>132</v>
      </c>
      <c r="B25" s="5">
        <f>B20/B22</f>
        <v>0.16666666666666666</v>
      </c>
      <c r="C25" s="5">
        <f t="shared" ref="C25:M25" si="1">C20/C22</f>
        <v>0.63888888888888884</v>
      </c>
      <c r="D25" s="5">
        <f t="shared" si="1"/>
        <v>0.81081081081081086</v>
      </c>
      <c r="E25" s="5">
        <f t="shared" si="1"/>
        <v>0.74545454545454548</v>
      </c>
      <c r="F25" s="5">
        <f t="shared" si="1"/>
        <v>0.70886075949367089</v>
      </c>
      <c r="G25" s="5">
        <f t="shared" si="1"/>
        <v>0.90697674418604646</v>
      </c>
      <c r="H25" s="5">
        <f t="shared" si="1"/>
        <v>0.88888888888888884</v>
      </c>
      <c r="I25" s="5">
        <f t="shared" si="1"/>
        <v>1</v>
      </c>
      <c r="J25" s="5">
        <f t="shared" si="1"/>
        <v>0.75</v>
      </c>
      <c r="K25" s="5">
        <f t="shared" si="1"/>
        <v>1</v>
      </c>
      <c r="L25" s="5">
        <f t="shared" si="1"/>
        <v>0.75</v>
      </c>
      <c r="M25" s="5">
        <f t="shared" si="1"/>
        <v>1</v>
      </c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</row>
    <row r="26" spans="1:40" x14ac:dyDescent="0.35">
      <c r="A26" s="172" t="s">
        <v>133</v>
      </c>
      <c r="B26" s="5">
        <f>B21/B22</f>
        <v>0.83333333333333337</v>
      </c>
      <c r="C26" s="5">
        <f t="shared" ref="C26:M26" si="2">C21/C22</f>
        <v>0.3611111111111111</v>
      </c>
      <c r="D26" s="5">
        <f t="shared" si="2"/>
        <v>0.1891891891891892</v>
      </c>
      <c r="E26" s="5">
        <f t="shared" si="2"/>
        <v>0.25454545454545452</v>
      </c>
      <c r="F26" s="5">
        <f t="shared" si="2"/>
        <v>0.29113924050632911</v>
      </c>
      <c r="G26" s="5">
        <f t="shared" si="2"/>
        <v>9.3023255813953487E-2</v>
      </c>
      <c r="H26" s="5">
        <f t="shared" si="2"/>
        <v>0.1111111111111111</v>
      </c>
      <c r="I26" s="5">
        <f t="shared" si="2"/>
        <v>0</v>
      </c>
      <c r="J26" s="5">
        <f t="shared" si="2"/>
        <v>0.25</v>
      </c>
      <c r="K26" s="5">
        <f t="shared" si="2"/>
        <v>0</v>
      </c>
      <c r="L26" s="5">
        <f t="shared" si="2"/>
        <v>0.25</v>
      </c>
      <c r="M26" s="5">
        <f t="shared" si="2"/>
        <v>0</v>
      </c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</row>
    <row r="27" spans="1:40" x14ac:dyDescent="0.35"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</row>
    <row r="28" spans="1:40" x14ac:dyDescent="0.35">
      <c r="A28" s="168" t="s">
        <v>135</v>
      </c>
      <c r="B28" s="171" t="s">
        <v>6</v>
      </c>
      <c r="C28" s="169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</row>
    <row r="29" spans="1:40" x14ac:dyDescent="0.35">
      <c r="A29" s="10"/>
      <c r="B29"/>
      <c r="C29"/>
      <c r="D29"/>
      <c r="F29"/>
      <c r="G29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</row>
    <row r="30" spans="1:40" x14ac:dyDescent="0.35">
      <c r="A30" s="10"/>
      <c r="B30" s="359" t="s">
        <v>136</v>
      </c>
      <c r="C30" s="360"/>
      <c r="D30" s="360"/>
      <c r="E30" s="360"/>
      <c r="F30" s="360"/>
      <c r="G30" s="360"/>
      <c r="H30" s="360"/>
      <c r="I30" s="360"/>
      <c r="J30" s="360"/>
      <c r="K30" s="360"/>
      <c r="L30" s="360"/>
      <c r="M30" s="361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</row>
    <row r="31" spans="1:40" x14ac:dyDescent="0.35">
      <c r="A31" s="10"/>
      <c r="B31" s="174">
        <v>8</v>
      </c>
      <c r="C31" s="174">
        <v>7</v>
      </c>
      <c r="D31" s="174">
        <v>6</v>
      </c>
      <c r="E31" s="174">
        <v>5</v>
      </c>
      <c r="F31" s="174">
        <v>4</v>
      </c>
      <c r="G31" s="174">
        <v>3</v>
      </c>
      <c r="H31" s="174">
        <v>2</v>
      </c>
      <c r="I31" s="174">
        <v>1</v>
      </c>
      <c r="J31" s="174" t="s">
        <v>128</v>
      </c>
      <c r="K31" s="174" t="s">
        <v>129</v>
      </c>
      <c r="L31" s="174" t="s">
        <v>130</v>
      </c>
      <c r="M31" s="174" t="s">
        <v>131</v>
      </c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126"/>
      <c r="AL31" s="126"/>
      <c r="AM31" s="126"/>
      <c r="AN31" s="126"/>
    </row>
    <row r="32" spans="1:40" x14ac:dyDescent="0.35">
      <c r="A32" s="160">
        <v>45382</v>
      </c>
      <c r="B32" s="5">
        <v>0.13</v>
      </c>
      <c r="C32" s="5">
        <f>26/83</f>
        <v>0.31325301204819278</v>
      </c>
      <c r="D32" s="5">
        <f>18/83</f>
        <v>0.21686746987951808</v>
      </c>
      <c r="E32" s="5">
        <v>0.1</v>
      </c>
      <c r="F32" s="5">
        <v>0.1</v>
      </c>
      <c r="G32" s="5">
        <v>0.11</v>
      </c>
      <c r="H32" s="5">
        <v>0</v>
      </c>
      <c r="I32" s="5">
        <f>1/83</f>
        <v>1.2048192771084338E-2</v>
      </c>
      <c r="J32" s="5">
        <f>1/83</f>
        <v>1.2048192771084338E-2</v>
      </c>
      <c r="K32" s="5">
        <f>K30/83</f>
        <v>0</v>
      </c>
      <c r="L32" s="5">
        <v>0</v>
      </c>
      <c r="M32" s="5">
        <v>0</v>
      </c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/>
      <c r="AG32" s="126"/>
      <c r="AH32" s="126"/>
      <c r="AI32" s="126"/>
      <c r="AJ32" s="126"/>
      <c r="AK32" s="126"/>
      <c r="AL32" s="126"/>
      <c r="AM32" s="126"/>
      <c r="AN32" s="126"/>
    </row>
    <row r="33" spans="1:40" x14ac:dyDescent="0.35">
      <c r="A33" s="160" t="s">
        <v>125</v>
      </c>
      <c r="B33" s="5">
        <f t="shared" ref="B33:G33" si="3">B31/60</f>
        <v>0.13333333333333333</v>
      </c>
      <c r="C33" s="5">
        <f t="shared" si="3"/>
        <v>0.11666666666666667</v>
      </c>
      <c r="D33" s="5">
        <f t="shared" si="3"/>
        <v>0.1</v>
      </c>
      <c r="E33" s="5">
        <f t="shared" si="3"/>
        <v>8.3333333333333329E-2</v>
      </c>
      <c r="F33" s="5">
        <f t="shared" si="3"/>
        <v>6.6666666666666666E-2</v>
      </c>
      <c r="G33" s="5">
        <f t="shared" si="3"/>
        <v>0.05</v>
      </c>
      <c r="H33" s="5">
        <f>3/60</f>
        <v>0.05</v>
      </c>
      <c r="I33" s="5">
        <f>0/60</f>
        <v>0</v>
      </c>
      <c r="J33" s="5">
        <f>1/60</f>
        <v>1.6666666666666666E-2</v>
      </c>
      <c r="K33" s="5">
        <f>2/60</f>
        <v>3.3333333333333333E-2</v>
      </c>
      <c r="L33" s="5">
        <v>0</v>
      </c>
      <c r="M33" s="5">
        <v>0</v>
      </c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</row>
    <row r="34" spans="1:40" x14ac:dyDescent="0.35"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  <c r="AD34" s="126"/>
      <c r="AE34" s="126"/>
      <c r="AF34" s="126"/>
      <c r="AG34" s="126"/>
      <c r="AH34" s="126"/>
      <c r="AI34" s="126"/>
      <c r="AJ34" s="126"/>
      <c r="AK34" s="126"/>
      <c r="AL34" s="126"/>
      <c r="AM34" s="126"/>
      <c r="AN34" s="126"/>
    </row>
    <row r="35" spans="1:40" x14ac:dyDescent="0.35">
      <c r="A35" s="150" t="s">
        <v>7</v>
      </c>
      <c r="B35" s="175" t="s">
        <v>8</v>
      </c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</row>
    <row r="36" spans="1:40" x14ac:dyDescent="0.35"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</row>
    <row r="37" spans="1:40" ht="69" customHeight="1" x14ac:dyDescent="0.35">
      <c r="A37" s="160" t="s">
        <v>114</v>
      </c>
      <c r="B37" s="121" t="s">
        <v>137</v>
      </c>
      <c r="C37" s="121" t="s">
        <v>138</v>
      </c>
      <c r="D37" s="121" t="s">
        <v>139</v>
      </c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6"/>
      <c r="AN37" s="126"/>
    </row>
    <row r="38" spans="1:40" x14ac:dyDescent="0.35">
      <c r="A38" s="160">
        <v>44286</v>
      </c>
      <c r="B38" s="4">
        <f>1544+885</f>
        <v>2429</v>
      </c>
      <c r="C38" s="4">
        <f>SUM('Recruitment - Gender Id (10)'!I5:L5)</f>
        <v>156</v>
      </c>
      <c r="D38" s="4">
        <f>SUM('Recruitment - Gender Id (10)'!M5:P5)</f>
        <v>31</v>
      </c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</row>
    <row r="39" spans="1:40" x14ac:dyDescent="0.35">
      <c r="A39" s="160">
        <v>44651</v>
      </c>
      <c r="B39" s="4">
        <f>321+547+5+79</f>
        <v>952</v>
      </c>
      <c r="C39" s="4">
        <f>SUM('Recruitment - Gender Id (10)'!I6:L6)</f>
        <v>196</v>
      </c>
      <c r="D39" s="4">
        <f>SUM('Recruitment - Gender Id (10)'!M6:P6)</f>
        <v>59</v>
      </c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6"/>
      <c r="AE39" s="126"/>
      <c r="AF39" s="126"/>
      <c r="AG39" s="126"/>
      <c r="AH39" s="126"/>
      <c r="AI39" s="126"/>
      <c r="AJ39" s="126"/>
      <c r="AK39" s="126"/>
      <c r="AL39" s="126"/>
      <c r="AM39" s="126"/>
      <c r="AN39" s="126"/>
    </row>
    <row r="40" spans="1:40" x14ac:dyDescent="0.35">
      <c r="A40" s="160">
        <v>45016</v>
      </c>
      <c r="B40" s="4">
        <f>533+925+10+15</f>
        <v>1483</v>
      </c>
      <c r="C40" s="4">
        <f>SUM('Recruitment - Gender Id (10)'!I7:L7)</f>
        <v>290</v>
      </c>
      <c r="D40" s="4">
        <f>SUM('Recruitment - Gender Id (10)'!M7:P7)</f>
        <v>77</v>
      </c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126"/>
      <c r="AH40" s="126"/>
      <c r="AI40" s="126"/>
      <c r="AJ40" s="126"/>
      <c r="AK40" s="126"/>
      <c r="AL40" s="126"/>
      <c r="AM40" s="126"/>
      <c r="AN40" s="126"/>
    </row>
    <row r="41" spans="1:40" x14ac:dyDescent="0.35">
      <c r="A41" s="160">
        <v>45382</v>
      </c>
      <c r="B41" s="4">
        <v>2670</v>
      </c>
      <c r="C41" s="4">
        <f>SUM('Recruitment - Gender Id (10)'!I8:L8)</f>
        <v>458</v>
      </c>
      <c r="D41" s="4">
        <f>SUM('Recruitment - Gender Id (10)'!M8:P8)</f>
        <v>61</v>
      </c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</row>
    <row r="42" spans="1:40" x14ac:dyDescent="0.35">
      <c r="A42" s="160" t="s">
        <v>125</v>
      </c>
      <c r="B42" s="4">
        <v>4999</v>
      </c>
      <c r="C42" s="4">
        <f>SUM('Recruitment - Gender Id (10)'!I9:L9)</f>
        <v>789</v>
      </c>
      <c r="D42" s="4">
        <f>SUM('Recruitment - Gender Id (10)'!M9:P9)</f>
        <v>83</v>
      </c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6"/>
      <c r="AE42" s="126"/>
      <c r="AF42" s="126"/>
      <c r="AG42" s="126"/>
      <c r="AH42" s="126"/>
      <c r="AI42" s="126"/>
      <c r="AJ42" s="126"/>
      <c r="AK42" s="126"/>
      <c r="AL42" s="126"/>
      <c r="AM42" s="126"/>
      <c r="AN42" s="126"/>
    </row>
    <row r="43" spans="1:40" x14ac:dyDescent="0.35"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6"/>
      <c r="AJ43" s="126"/>
      <c r="AK43" s="126"/>
      <c r="AL43" s="126"/>
      <c r="AM43" s="126"/>
      <c r="AN43" s="126"/>
    </row>
    <row r="44" spans="1:40" x14ac:dyDescent="0.35">
      <c r="A44" s="150" t="s">
        <v>9</v>
      </c>
      <c r="B44" s="176" t="s">
        <v>10</v>
      </c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126"/>
    </row>
    <row r="45" spans="1:40" x14ac:dyDescent="0.35"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  <c r="AN45" s="126"/>
    </row>
    <row r="46" spans="1:40" ht="59.5" customHeight="1" x14ac:dyDescent="0.35">
      <c r="A46" s="177" t="s">
        <v>140</v>
      </c>
      <c r="B46" s="161" t="s">
        <v>141</v>
      </c>
      <c r="C46" s="161" t="s">
        <v>142</v>
      </c>
      <c r="D46" s="161" t="s">
        <v>143</v>
      </c>
      <c r="E46" s="161" t="s">
        <v>144</v>
      </c>
      <c r="F46" s="161" t="s">
        <v>145</v>
      </c>
      <c r="G46" s="161" t="s">
        <v>146</v>
      </c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</row>
    <row r="47" spans="1:40" x14ac:dyDescent="0.35">
      <c r="A47" s="177" t="s">
        <v>147</v>
      </c>
      <c r="B47" s="121">
        <v>277</v>
      </c>
      <c r="C47" s="121">
        <v>246</v>
      </c>
      <c r="D47" s="121">
        <v>194</v>
      </c>
      <c r="E47" s="121">
        <v>239</v>
      </c>
      <c r="F47" s="4">
        <v>275</v>
      </c>
      <c r="G47" s="4">
        <v>203</v>
      </c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</row>
    <row r="48" spans="1:40" x14ac:dyDescent="0.35">
      <c r="A48" s="177" t="s">
        <v>148</v>
      </c>
      <c r="B48" s="121">
        <v>68</v>
      </c>
      <c r="C48" s="121">
        <v>62</v>
      </c>
      <c r="D48" s="121">
        <v>60</v>
      </c>
      <c r="E48" s="121">
        <v>61</v>
      </c>
      <c r="F48" s="4">
        <v>164</v>
      </c>
      <c r="G48" s="4">
        <v>72</v>
      </c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</row>
    <row r="49" spans="1:40" ht="29" x14ac:dyDescent="0.35">
      <c r="A49" s="177" t="s">
        <v>149</v>
      </c>
      <c r="B49" s="121">
        <v>345</v>
      </c>
      <c r="C49" s="121">
        <v>308</v>
      </c>
      <c r="D49" s="121">
        <v>254</v>
      </c>
      <c r="E49" s="121">
        <v>300</v>
      </c>
      <c r="F49" s="4">
        <f>SUM(F47:F48)</f>
        <v>439</v>
      </c>
      <c r="G49" s="4">
        <f>SUM(G47:G48)</f>
        <v>275</v>
      </c>
      <c r="P49" s="126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126"/>
      <c r="AF49" s="126"/>
      <c r="AG49" s="126"/>
      <c r="AH49" s="126"/>
      <c r="AI49" s="126"/>
      <c r="AJ49" s="126"/>
      <c r="AK49" s="126"/>
      <c r="AL49" s="126"/>
      <c r="AM49" s="126"/>
      <c r="AN49" s="126"/>
    </row>
    <row r="50" spans="1:40" x14ac:dyDescent="0.35">
      <c r="A50" s="177" t="s">
        <v>150</v>
      </c>
      <c r="B50" s="121">
        <v>463</v>
      </c>
      <c r="C50" s="121">
        <v>466</v>
      </c>
      <c r="D50" s="121">
        <v>478</v>
      </c>
      <c r="E50" s="121">
        <v>484</v>
      </c>
      <c r="F50" s="4">
        <v>483</v>
      </c>
      <c r="G50" s="4">
        <v>485</v>
      </c>
      <c r="P50" s="126"/>
      <c r="Q50" s="126"/>
      <c r="R50" s="126"/>
      <c r="S50" s="126"/>
      <c r="T50" s="126"/>
      <c r="U50" s="126"/>
      <c r="V50" s="126"/>
      <c r="W50" s="126"/>
      <c r="X50" s="126"/>
      <c r="Y50" s="126"/>
      <c r="Z50" s="126"/>
      <c r="AA50" s="126"/>
      <c r="AB50" s="126"/>
      <c r="AC50" s="126"/>
      <c r="AD50" s="126"/>
      <c r="AE50" s="126"/>
      <c r="AF50" s="126"/>
      <c r="AG50" s="126"/>
      <c r="AH50" s="126"/>
      <c r="AI50" s="126"/>
      <c r="AJ50" s="126"/>
      <c r="AK50" s="126"/>
      <c r="AL50" s="126"/>
      <c r="AM50" s="126"/>
      <c r="AN50" s="126"/>
    </row>
    <row r="51" spans="1:40" x14ac:dyDescent="0.35"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26"/>
      <c r="AJ51" s="126"/>
      <c r="AK51" s="126"/>
      <c r="AL51" s="126"/>
      <c r="AM51" s="126"/>
      <c r="AN51" s="126"/>
    </row>
    <row r="52" spans="1:40" x14ac:dyDescent="0.35">
      <c r="A52" s="150" t="s">
        <v>11</v>
      </c>
      <c r="B52" s="176" t="s">
        <v>12</v>
      </c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/>
    </row>
    <row r="53" spans="1:40" x14ac:dyDescent="0.35"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/>
    </row>
    <row r="54" spans="1:40" ht="29" x14ac:dyDescent="0.35">
      <c r="A54" s="177" t="s">
        <v>151</v>
      </c>
      <c r="B54" s="161" t="s">
        <v>152</v>
      </c>
      <c r="C54" s="161" t="s">
        <v>153</v>
      </c>
      <c r="D54" s="4" t="s">
        <v>154</v>
      </c>
      <c r="E54" s="4" t="s">
        <v>155</v>
      </c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/>
      <c r="AG54" s="126"/>
      <c r="AH54" s="126"/>
      <c r="AI54" s="126"/>
      <c r="AJ54" s="126"/>
      <c r="AK54" s="126"/>
      <c r="AL54" s="126"/>
      <c r="AM54" s="126"/>
      <c r="AN54" s="126"/>
    </row>
    <row r="55" spans="1:40" ht="29" x14ac:dyDescent="0.35">
      <c r="A55" s="177" t="s">
        <v>156</v>
      </c>
      <c r="B55" s="121">
        <v>142</v>
      </c>
      <c r="C55" s="121">
        <v>121</v>
      </c>
      <c r="D55" s="4">
        <v>154</v>
      </c>
      <c r="E55" s="4">
        <v>121</v>
      </c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  <c r="AF55" s="126"/>
      <c r="AG55" s="126"/>
      <c r="AH55" s="126"/>
      <c r="AI55" s="126"/>
      <c r="AJ55" s="126"/>
      <c r="AK55" s="126"/>
      <c r="AL55" s="126"/>
      <c r="AM55" s="126"/>
      <c r="AN55" s="126"/>
    </row>
    <row r="56" spans="1:40" ht="29" x14ac:dyDescent="0.35">
      <c r="A56" s="178" t="s">
        <v>157</v>
      </c>
      <c r="B56" s="179"/>
      <c r="C56" s="179"/>
      <c r="D56" s="4">
        <v>13</v>
      </c>
      <c r="E56" s="4">
        <v>53</v>
      </c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  <c r="AF56" s="126"/>
      <c r="AG56" s="126"/>
      <c r="AH56" s="126"/>
      <c r="AI56" s="126"/>
      <c r="AJ56" s="126"/>
      <c r="AK56" s="126"/>
      <c r="AL56" s="126"/>
      <c r="AM56" s="126"/>
      <c r="AN56" s="126"/>
    </row>
    <row r="57" spans="1:40" x14ac:dyDescent="0.35">
      <c r="A57" s="180" t="s">
        <v>158</v>
      </c>
      <c r="B57" s="154"/>
      <c r="C57" s="154"/>
      <c r="D57" s="154">
        <f>SUM(D55:D56)</f>
        <v>167</v>
      </c>
      <c r="E57" s="4">
        <f>SUM(E55:E56)</f>
        <v>174</v>
      </c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  <c r="AF57" s="126"/>
      <c r="AG57" s="126"/>
      <c r="AH57" s="126"/>
      <c r="AI57" s="126"/>
      <c r="AJ57" s="126"/>
      <c r="AK57" s="126"/>
      <c r="AL57" s="126"/>
      <c r="AM57" s="126"/>
      <c r="AN57" s="126"/>
    </row>
    <row r="58" spans="1:40" x14ac:dyDescent="0.35"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</row>
    <row r="59" spans="1:40" x14ac:dyDescent="0.35">
      <c r="A59" s="354" t="s">
        <v>159</v>
      </c>
      <c r="B59" s="354"/>
      <c r="C59" s="354"/>
      <c r="D59" s="354"/>
      <c r="E59" s="354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26"/>
      <c r="AI59" s="126"/>
      <c r="AJ59" s="126"/>
      <c r="AK59" s="126"/>
      <c r="AL59" s="126"/>
      <c r="AM59" s="126"/>
      <c r="AN59" s="126"/>
    </row>
    <row r="60" spans="1:40" x14ac:dyDescent="0.35">
      <c r="A60" s="350" t="s">
        <v>160</v>
      </c>
      <c r="B60" s="350"/>
      <c r="C60" s="350"/>
      <c r="D60" s="350"/>
      <c r="E60" s="350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126"/>
      <c r="AE60" s="126"/>
      <c r="AF60" s="126"/>
      <c r="AG60" s="126"/>
      <c r="AH60" s="126"/>
      <c r="AI60" s="126"/>
      <c r="AJ60" s="126"/>
      <c r="AK60" s="126"/>
      <c r="AL60" s="126"/>
      <c r="AM60" s="126"/>
      <c r="AN60" s="126"/>
    </row>
    <row r="61" spans="1:40" ht="50.15" customHeight="1" x14ac:dyDescent="0.35">
      <c r="A61" s="351" t="s">
        <v>161</v>
      </c>
      <c r="B61" s="351"/>
      <c r="C61" s="351"/>
      <c r="D61" s="351"/>
      <c r="E61" s="351"/>
      <c r="P61" s="126"/>
      <c r="Q61" s="126"/>
      <c r="R61" s="126"/>
      <c r="S61" s="126"/>
      <c r="T61" s="126"/>
      <c r="U61" s="126"/>
      <c r="V61" s="126"/>
      <c r="W61" s="126"/>
      <c r="X61" s="126"/>
      <c r="Y61" s="126"/>
      <c r="Z61" s="126"/>
      <c r="AA61" s="126"/>
      <c r="AB61" s="126"/>
      <c r="AC61" s="126"/>
      <c r="AD61" s="126"/>
      <c r="AE61" s="126"/>
      <c r="AF61" s="126"/>
      <c r="AG61" s="126"/>
      <c r="AH61" s="126"/>
      <c r="AI61" s="126"/>
      <c r="AJ61" s="126"/>
      <c r="AK61" s="126"/>
      <c r="AL61" s="126"/>
      <c r="AM61" s="126"/>
      <c r="AN61" s="126"/>
    </row>
    <row r="62" spans="1:40" x14ac:dyDescent="0.35"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  <c r="AD62" s="126"/>
      <c r="AE62" s="126"/>
      <c r="AF62" s="126"/>
      <c r="AG62" s="126"/>
      <c r="AH62" s="126"/>
      <c r="AI62" s="126"/>
      <c r="AJ62" s="126"/>
      <c r="AK62" s="126"/>
      <c r="AL62" s="126"/>
      <c r="AM62" s="126"/>
      <c r="AN62" s="126"/>
    </row>
    <row r="63" spans="1:40" x14ac:dyDescent="0.35">
      <c r="G63" s="125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6"/>
      <c r="AF63" s="126"/>
      <c r="AG63" s="126"/>
      <c r="AH63" s="126"/>
      <c r="AI63" s="126"/>
      <c r="AJ63" s="126"/>
      <c r="AK63" s="126"/>
      <c r="AL63" s="126"/>
      <c r="AM63" s="126"/>
      <c r="AN63" s="126"/>
    </row>
    <row r="64" spans="1:40" x14ac:dyDescent="0.35">
      <c r="G64" s="125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  <c r="AD64" s="126"/>
      <c r="AE64" s="126"/>
      <c r="AF64" s="126"/>
      <c r="AG64" s="126"/>
      <c r="AH64" s="126"/>
      <c r="AI64" s="126"/>
      <c r="AJ64" s="126"/>
      <c r="AK64" s="126"/>
      <c r="AL64" s="126"/>
      <c r="AM64" s="126"/>
      <c r="AN64" s="126"/>
    </row>
    <row r="65" spans="1:40" x14ac:dyDescent="0.35">
      <c r="F65" s="125"/>
      <c r="G65" s="125"/>
      <c r="H65" s="126"/>
      <c r="I65" s="126"/>
      <c r="J65" s="126"/>
      <c r="K65" s="126"/>
      <c r="L65" s="126"/>
      <c r="M65" s="126"/>
      <c r="N65" s="126"/>
      <c r="O65" s="126"/>
      <c r="P65" s="126"/>
      <c r="Q65" s="126"/>
      <c r="R65" s="126"/>
      <c r="S65" s="126"/>
      <c r="T65" s="126"/>
      <c r="U65" s="126"/>
      <c r="V65" s="126"/>
      <c r="W65" s="126"/>
      <c r="X65" s="126"/>
      <c r="Y65" s="126"/>
      <c r="Z65" s="126"/>
      <c r="AA65" s="126"/>
      <c r="AB65" s="126"/>
      <c r="AC65" s="126"/>
      <c r="AD65" s="126"/>
      <c r="AE65" s="126"/>
      <c r="AF65" s="126"/>
      <c r="AG65" s="126"/>
      <c r="AH65" s="126"/>
      <c r="AI65" s="126"/>
      <c r="AJ65" s="126"/>
      <c r="AK65" s="126"/>
      <c r="AL65" s="126"/>
      <c r="AM65" s="126"/>
      <c r="AN65" s="126"/>
    </row>
    <row r="66" spans="1:40" x14ac:dyDescent="0.35">
      <c r="F66" s="125"/>
      <c r="G66" s="125"/>
      <c r="H66" s="126"/>
      <c r="I66" s="126"/>
      <c r="J66" s="126"/>
      <c r="K66" s="126"/>
      <c r="L66" s="126"/>
      <c r="M66" s="126"/>
      <c r="N66" s="126"/>
      <c r="O66" s="126"/>
      <c r="P66" s="126"/>
      <c r="Q66" s="126"/>
      <c r="R66" s="126"/>
      <c r="S66" s="126"/>
      <c r="T66" s="126"/>
      <c r="U66" s="126"/>
      <c r="V66" s="126"/>
      <c r="W66" s="126"/>
      <c r="X66" s="126"/>
      <c r="Y66" s="126"/>
      <c r="Z66" s="126"/>
      <c r="AA66" s="126"/>
      <c r="AB66" s="126"/>
      <c r="AC66" s="126"/>
      <c r="AD66" s="126"/>
      <c r="AE66" s="126"/>
      <c r="AF66" s="126"/>
      <c r="AG66" s="126"/>
      <c r="AH66" s="126"/>
      <c r="AI66" s="126"/>
      <c r="AJ66" s="126"/>
      <c r="AK66" s="126"/>
      <c r="AL66" s="126"/>
      <c r="AM66" s="126"/>
      <c r="AN66" s="126"/>
    </row>
    <row r="67" spans="1:40" x14ac:dyDescent="0.35">
      <c r="A67" s="151"/>
      <c r="B67" s="125"/>
      <c r="C67" s="125"/>
      <c r="D67" s="125"/>
      <c r="E67" s="126"/>
      <c r="F67" s="125"/>
      <c r="G67" s="125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26"/>
      <c r="AB67" s="126"/>
      <c r="AC67" s="126"/>
      <c r="AD67" s="126"/>
      <c r="AE67" s="126"/>
      <c r="AF67" s="126"/>
      <c r="AG67" s="126"/>
      <c r="AH67" s="126"/>
      <c r="AI67" s="126"/>
      <c r="AJ67" s="126"/>
      <c r="AK67" s="126"/>
      <c r="AL67" s="126"/>
      <c r="AM67" s="126"/>
      <c r="AN67" s="126"/>
    </row>
    <row r="68" spans="1:40" x14ac:dyDescent="0.35">
      <c r="A68" s="151"/>
      <c r="B68" s="125"/>
      <c r="C68" s="125"/>
      <c r="D68" s="125"/>
      <c r="E68" s="126"/>
      <c r="F68" s="125"/>
      <c r="G68" s="125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26"/>
      <c r="AB68" s="126"/>
      <c r="AC68" s="126"/>
      <c r="AD68" s="126"/>
      <c r="AE68" s="126"/>
      <c r="AF68" s="126"/>
      <c r="AG68" s="126"/>
      <c r="AH68" s="126"/>
      <c r="AI68" s="126"/>
      <c r="AJ68" s="126"/>
      <c r="AK68" s="126"/>
      <c r="AL68" s="126"/>
      <c r="AM68" s="126"/>
      <c r="AN68" s="126"/>
    </row>
  </sheetData>
  <sheetProtection algorithmName="SHA-512" hashValue="7+wa6NtpzSKFfz8vtvyP35DR6TXehjb46QFOs6rumt5I/+1tz9FHGU+RsckYo4OQ7tfDzYeThCIfQRjcstWWKA==" saltValue="626jBYUjI2QPxoQduv8amw==" spinCount="100000" sheet="1" formatCells="0" formatColumns="0" formatRows="0" insertColumns="0" insertRows="0" insertHyperlinks="0" deleteColumns="0" deleteRows="0" sort="0" autoFilter="0" pivotTables="0"/>
  <mergeCells count="14">
    <mergeCell ref="A1:D1"/>
    <mergeCell ref="B3:K3"/>
    <mergeCell ref="A60:E60"/>
    <mergeCell ref="A61:E61"/>
    <mergeCell ref="H2:K2"/>
    <mergeCell ref="B18:M18"/>
    <mergeCell ref="B23:M23"/>
    <mergeCell ref="L2:O2"/>
    <mergeCell ref="A59:E59"/>
    <mergeCell ref="H5:I6"/>
    <mergeCell ref="J5:K6"/>
    <mergeCell ref="B5:G6"/>
    <mergeCell ref="A5:A6"/>
    <mergeCell ref="B30:M30"/>
  </mergeCells>
  <pageMargins left="0.7" right="0.7" top="0.75" bottom="0.75" header="0.3" footer="0.3"/>
  <pageSetup paperSize="9" orientation="portrait" horizontalDpi="300" verticalDpi="300" r:id="rId1"/>
  <ignoredErrors>
    <ignoredError sqref="C38:D38 C39:D4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DC1B1-9593-47B1-9195-D002512411E1}">
  <dimension ref="A1:AC125"/>
  <sheetViews>
    <sheetView showGridLines="0" zoomScale="70" zoomScaleNormal="70" workbookViewId="0">
      <selection activeCell="R37" sqref="R37"/>
    </sheetView>
  </sheetViews>
  <sheetFormatPr defaultRowHeight="14.5" x14ac:dyDescent="0.35"/>
  <cols>
    <col min="1" max="1" width="25.453125" customWidth="1"/>
    <col min="2" max="2" width="12.1796875" customWidth="1"/>
    <col min="3" max="3" width="11.1796875" customWidth="1"/>
    <col min="4" max="4" width="10.81640625" customWidth="1"/>
    <col min="5" max="5" width="11.54296875" customWidth="1"/>
    <col min="6" max="6" width="10.453125" customWidth="1"/>
    <col min="7" max="7" width="8.81640625" customWidth="1"/>
    <col min="8" max="8" width="12.54296875" customWidth="1"/>
    <col min="9" max="9" width="12.453125" customWidth="1"/>
    <col min="11" max="11" width="11.54296875" style="10" customWidth="1"/>
    <col min="12" max="12" width="10.453125" customWidth="1"/>
    <col min="13" max="13" width="9.453125" customWidth="1"/>
    <col min="14" max="14" width="13.54296875" customWidth="1"/>
    <col min="15" max="15" width="10.81640625" customWidth="1"/>
    <col min="17" max="17" width="11.54296875" customWidth="1"/>
    <col min="18" max="18" width="11" customWidth="1"/>
    <col min="20" max="20" width="11.453125" customWidth="1"/>
    <col min="21" max="21" width="10.453125" customWidth="1"/>
    <col min="24" max="24" width="8.54296875" style="43" hidden="1" customWidth="1"/>
    <col min="25" max="30" width="0" hidden="1" customWidth="1"/>
  </cols>
  <sheetData>
    <row r="1" spans="1:29" x14ac:dyDescent="0.35">
      <c r="A1" s="7" t="s">
        <v>162</v>
      </c>
    </row>
    <row r="2" spans="1:29" x14ac:dyDescent="0.35">
      <c r="A2" s="7"/>
    </row>
    <row r="3" spans="1:29" x14ac:dyDescent="0.35">
      <c r="A3" s="1" t="s">
        <v>14</v>
      </c>
      <c r="B3" t="s">
        <v>15</v>
      </c>
    </row>
    <row r="4" spans="1:29" x14ac:dyDescent="0.35">
      <c r="N4" s="158"/>
      <c r="O4" s="158"/>
      <c r="P4" s="181"/>
      <c r="Q4" s="181"/>
      <c r="R4" s="181"/>
      <c r="S4" s="181"/>
      <c r="T4" s="181"/>
      <c r="U4" s="181"/>
      <c r="V4" s="181"/>
      <c r="W4" s="181"/>
    </row>
    <row r="5" spans="1:29" ht="39" customHeight="1" x14ac:dyDescent="0.35">
      <c r="A5" s="3" t="s">
        <v>114</v>
      </c>
      <c r="B5" s="4" t="s">
        <v>163</v>
      </c>
      <c r="C5" s="4" t="s">
        <v>164</v>
      </c>
      <c r="D5" s="4" t="s">
        <v>165</v>
      </c>
      <c r="E5" s="4" t="s">
        <v>166</v>
      </c>
      <c r="F5" s="4" t="s">
        <v>167</v>
      </c>
      <c r="G5" s="4" t="s">
        <v>168</v>
      </c>
      <c r="N5" s="43"/>
      <c r="O5" s="43"/>
      <c r="P5" s="43"/>
      <c r="Q5" s="43"/>
      <c r="R5" s="43"/>
      <c r="S5" s="43"/>
      <c r="T5" s="43"/>
      <c r="U5" s="43"/>
      <c r="V5" s="43"/>
      <c r="W5" s="43"/>
      <c r="Y5" s="68" t="s">
        <v>169</v>
      </c>
      <c r="Z5" s="68" t="s">
        <v>170</v>
      </c>
      <c r="AA5" s="68" t="s">
        <v>171</v>
      </c>
    </row>
    <row r="6" spans="1:29" x14ac:dyDescent="0.35">
      <c r="A6" s="3">
        <v>43555</v>
      </c>
      <c r="B6" s="193">
        <v>2.5999999999999999E-2</v>
      </c>
      <c r="C6" s="193">
        <v>0.217</v>
      </c>
      <c r="D6" s="193">
        <v>0.23799999999999999</v>
      </c>
      <c r="E6" s="193">
        <v>0.253</v>
      </c>
      <c r="F6" s="193">
        <v>0.246</v>
      </c>
      <c r="G6" s="193">
        <v>0.02</v>
      </c>
      <c r="N6" s="43"/>
      <c r="O6" s="43"/>
      <c r="P6" s="43"/>
      <c r="Q6" s="43"/>
      <c r="R6" s="43"/>
      <c r="S6" s="43"/>
      <c r="T6" s="43"/>
      <c r="U6" s="43"/>
      <c r="V6" s="43"/>
      <c r="W6" s="43"/>
      <c r="X6" s="43">
        <f>SUM(L6:W6)</f>
        <v>0</v>
      </c>
      <c r="Y6" s="43">
        <v>2</v>
      </c>
      <c r="AB6" s="26" t="e">
        <f>Y6/X6</f>
        <v>#DIV/0!</v>
      </c>
      <c r="AC6" s="69" t="e">
        <f>Y6/X14</f>
        <v>#DIV/0!</v>
      </c>
    </row>
    <row r="7" spans="1:29" x14ac:dyDescent="0.35">
      <c r="A7" s="3">
        <v>43921</v>
      </c>
      <c r="B7" s="194">
        <v>2.4E-2</v>
      </c>
      <c r="C7" s="193">
        <v>0.20699999999999999</v>
      </c>
      <c r="D7" s="193">
        <v>0.251</v>
      </c>
      <c r="E7" s="193">
        <v>0.23899999999999999</v>
      </c>
      <c r="F7" s="193">
        <v>0.24199999999999999</v>
      </c>
      <c r="G7" s="193">
        <v>3.6999999999999998E-2</v>
      </c>
      <c r="N7" s="43"/>
      <c r="O7" s="43"/>
      <c r="P7" s="43"/>
      <c r="Q7" s="43"/>
      <c r="R7" s="43"/>
      <c r="S7" s="43"/>
      <c r="T7" s="43"/>
      <c r="U7" s="43"/>
      <c r="V7" s="43"/>
      <c r="W7" s="43"/>
      <c r="X7" s="43">
        <f t="shared" ref="X7:X11" si="0">SUM(L7:W7)</f>
        <v>0</v>
      </c>
      <c r="Y7" s="43">
        <v>8</v>
      </c>
      <c r="AB7" s="26" t="e">
        <f t="shared" ref="AB7:AB11" si="1">Y7/X7</f>
        <v>#DIV/0!</v>
      </c>
      <c r="AC7" s="70" t="e">
        <f>Y7/X14</f>
        <v>#DIV/0!</v>
      </c>
    </row>
    <row r="8" spans="1:29" x14ac:dyDescent="0.35">
      <c r="A8" s="3">
        <v>44286</v>
      </c>
      <c r="B8" s="194">
        <v>2.4E-2</v>
      </c>
      <c r="C8" s="193">
        <v>0.19500000000000001</v>
      </c>
      <c r="D8" s="193">
        <v>0.26</v>
      </c>
      <c r="E8" s="193">
        <v>0.245</v>
      </c>
      <c r="F8" s="193">
        <v>0.22800000000000001</v>
      </c>
      <c r="G8" s="193">
        <v>4.9000000000000002E-2</v>
      </c>
      <c r="N8" s="43"/>
      <c r="O8" s="43"/>
      <c r="P8" s="43"/>
      <c r="Q8" s="43"/>
      <c r="R8" s="43"/>
      <c r="S8" s="43"/>
      <c r="T8" s="43"/>
      <c r="U8" s="43"/>
      <c r="V8" s="43"/>
      <c r="W8" s="43"/>
      <c r="X8" s="43">
        <f t="shared" si="0"/>
        <v>0</v>
      </c>
      <c r="Y8" s="43">
        <v>11</v>
      </c>
      <c r="AB8" s="26" t="e">
        <f t="shared" si="1"/>
        <v>#DIV/0!</v>
      </c>
      <c r="AC8" s="70" t="e">
        <f>Y8/X14</f>
        <v>#DIV/0!</v>
      </c>
    </row>
    <row r="9" spans="1:29" x14ac:dyDescent="0.35">
      <c r="A9" s="3">
        <v>44651</v>
      </c>
      <c r="B9" s="194">
        <v>0.03</v>
      </c>
      <c r="C9" s="193">
        <v>0.20799999999999999</v>
      </c>
      <c r="D9" s="193">
        <v>0.26</v>
      </c>
      <c r="E9" s="193">
        <v>0.255</v>
      </c>
      <c r="F9" s="193">
        <v>0.21099999999999999</v>
      </c>
      <c r="G9" s="193">
        <v>3.7999999999999999E-2</v>
      </c>
      <c r="N9" s="43"/>
      <c r="O9" s="43"/>
      <c r="P9" s="43"/>
      <c r="Q9" s="43"/>
      <c r="R9" s="43"/>
      <c r="S9" s="43"/>
      <c r="T9" s="43"/>
      <c r="U9" s="43"/>
      <c r="V9" s="43"/>
      <c r="W9" s="43"/>
      <c r="X9" s="43">
        <f t="shared" si="0"/>
        <v>0</v>
      </c>
      <c r="Y9" s="43">
        <v>8</v>
      </c>
      <c r="AB9" s="26" t="e">
        <f t="shared" si="1"/>
        <v>#DIV/0!</v>
      </c>
      <c r="AC9" s="70" t="e">
        <f>Y9/X14</f>
        <v>#DIV/0!</v>
      </c>
    </row>
    <row r="10" spans="1:29" x14ac:dyDescent="0.35">
      <c r="A10" s="3">
        <v>45016</v>
      </c>
      <c r="B10" s="194">
        <v>0.04</v>
      </c>
      <c r="C10" s="193">
        <v>0.20699999999999999</v>
      </c>
      <c r="D10" s="193">
        <v>0.26500000000000001</v>
      </c>
      <c r="E10" s="193">
        <v>0.22900000000000001</v>
      </c>
      <c r="F10" s="193">
        <v>0.223</v>
      </c>
      <c r="G10" s="193">
        <v>3.6999999999999998E-2</v>
      </c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>
        <f t="shared" si="0"/>
        <v>0</v>
      </c>
      <c r="Y10" s="43">
        <v>18</v>
      </c>
      <c r="AB10" s="26" t="e">
        <f t="shared" si="1"/>
        <v>#DIV/0!</v>
      </c>
      <c r="AC10" s="70" t="e">
        <f>Y10/X14</f>
        <v>#DIV/0!</v>
      </c>
    </row>
    <row r="11" spans="1:29" x14ac:dyDescent="0.35">
      <c r="A11" s="3">
        <v>45382</v>
      </c>
      <c r="B11" s="194">
        <v>3.5200000000000002E-2</v>
      </c>
      <c r="C11" s="193">
        <v>0.20699999999999999</v>
      </c>
      <c r="D11" s="193">
        <v>0.27739999999999998</v>
      </c>
      <c r="E11" s="193">
        <v>0.2215</v>
      </c>
      <c r="F11" s="193">
        <v>0.21329999999999999</v>
      </c>
      <c r="G11" s="193">
        <v>4.5499999999999999E-2</v>
      </c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>
        <f t="shared" si="0"/>
        <v>0</v>
      </c>
      <c r="Y11" s="43">
        <v>3</v>
      </c>
      <c r="AB11" s="26" t="e">
        <f t="shared" si="1"/>
        <v>#DIV/0!</v>
      </c>
      <c r="AC11" s="70" t="e">
        <f>Y11/X14</f>
        <v>#DIV/0!</v>
      </c>
    </row>
    <row r="12" spans="1:29" x14ac:dyDescent="0.35">
      <c r="A12" s="3" t="s">
        <v>125</v>
      </c>
      <c r="B12" s="193">
        <v>3.5000000000000003E-2</v>
      </c>
      <c r="C12" s="193">
        <v>0.20200000000000001</v>
      </c>
      <c r="D12" s="193">
        <v>0.27200000000000002</v>
      </c>
      <c r="E12" s="193">
        <v>0.23089999999999999</v>
      </c>
      <c r="F12" s="193">
        <v>0.2165</v>
      </c>
      <c r="G12" s="193">
        <v>4.3299999999999998E-2</v>
      </c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>
        <f>SUM(N12:W12)</f>
        <v>0</v>
      </c>
      <c r="Y12" s="43">
        <v>32</v>
      </c>
      <c r="AB12" s="26" t="e">
        <f>Y12/X12</f>
        <v>#DIV/0!</v>
      </c>
      <c r="AC12" s="70" t="e">
        <f>Y12/X14</f>
        <v>#DIV/0!</v>
      </c>
    </row>
    <row r="13" spans="1:29" x14ac:dyDescent="0.35">
      <c r="K13" s="11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>
        <f>SUM(L13:W13)</f>
        <v>0</v>
      </c>
      <c r="Y13" s="43">
        <v>18</v>
      </c>
      <c r="AB13" s="26" t="e">
        <f>Y13/X13</f>
        <v>#DIV/0!</v>
      </c>
      <c r="AC13" s="70" t="e">
        <f>Y13/X14</f>
        <v>#DIV/0!</v>
      </c>
    </row>
    <row r="14" spans="1:29" x14ac:dyDescent="0.35">
      <c r="A14" s="308" t="s">
        <v>172</v>
      </c>
      <c r="B14" s="331">
        <v>0.1071</v>
      </c>
      <c r="C14" s="331">
        <v>0.12759999999999999</v>
      </c>
      <c r="D14" s="331">
        <v>0.12759999999999999</v>
      </c>
      <c r="E14" s="331">
        <v>0.12509999999999999</v>
      </c>
      <c r="F14" s="331">
        <v>0.13239999999999999</v>
      </c>
      <c r="G14" s="331">
        <v>5.79E-2</v>
      </c>
      <c r="X14" s="43">
        <f>SUM(X6:X11)</f>
        <v>0</v>
      </c>
    </row>
    <row r="15" spans="1:29" x14ac:dyDescent="0.35">
      <c r="K15" s="11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</row>
    <row r="16" spans="1:29" hidden="1" x14ac:dyDescent="0.35">
      <c r="L16" s="55" t="e">
        <f>#REF!/42</f>
        <v>#REF!</v>
      </c>
      <c r="M16" s="183" t="e">
        <f>#REF!/M18</f>
        <v>#REF!</v>
      </c>
      <c r="N16" s="183" t="e">
        <f>#REF!/N18</f>
        <v>#REF!</v>
      </c>
      <c r="O16" s="183" t="e">
        <f>#REF!/O18</f>
        <v>#REF!</v>
      </c>
      <c r="P16" s="183" t="e">
        <f>#REF!/P18</f>
        <v>#REF!</v>
      </c>
      <c r="Q16" s="183" t="e">
        <f>#REF!/Q18</f>
        <v>#REF!</v>
      </c>
      <c r="R16" s="183" t="e">
        <f>#REF!/R18</f>
        <v>#REF!</v>
      </c>
      <c r="S16" s="183" t="e">
        <f>#REF!/S18</f>
        <v>#REF!</v>
      </c>
      <c r="T16" s="183" t="e">
        <f>#REF!/T18</f>
        <v>#REF!</v>
      </c>
      <c r="U16" s="183" t="e">
        <f>#REF!/U18</f>
        <v>#REF!</v>
      </c>
      <c r="V16" s="183" t="e">
        <f>#REF!/V18</f>
        <v>#REF!</v>
      </c>
      <c r="W16" s="183" t="e">
        <f>#REF!/W18</f>
        <v>#REF!</v>
      </c>
    </row>
    <row r="17" spans="1:24" hidden="1" x14ac:dyDescent="0.35"/>
    <row r="18" spans="1:24" hidden="1" x14ac:dyDescent="0.35">
      <c r="L18" s="43">
        <f>SUM('Disability (5)'!C39:C44)</f>
        <v>4.2348575793953946</v>
      </c>
      <c r="M18" s="43">
        <f>SUM('Disability (5)'!D39:D44)</f>
        <v>0.23967223252937536</v>
      </c>
      <c r="N18" s="43">
        <f t="shared" ref="N18:W18" si="2">SUM(N6:N11)</f>
        <v>0</v>
      </c>
      <c r="O18" s="43">
        <f t="shared" si="2"/>
        <v>0</v>
      </c>
      <c r="P18" s="43">
        <f t="shared" si="2"/>
        <v>0</v>
      </c>
      <c r="Q18" s="43">
        <f t="shared" si="2"/>
        <v>0</v>
      </c>
      <c r="R18" s="43">
        <f t="shared" si="2"/>
        <v>0</v>
      </c>
      <c r="S18" s="43">
        <f t="shared" si="2"/>
        <v>0</v>
      </c>
      <c r="T18" s="43">
        <f t="shared" si="2"/>
        <v>0</v>
      </c>
      <c r="U18" s="43">
        <f t="shared" si="2"/>
        <v>0</v>
      </c>
      <c r="V18" s="43">
        <f t="shared" si="2"/>
        <v>0</v>
      </c>
      <c r="W18" s="43">
        <f t="shared" si="2"/>
        <v>0</v>
      </c>
      <c r="X18" s="43">
        <f>SUM(L18:W18)</f>
        <v>4.4745298119247696</v>
      </c>
    </row>
    <row r="19" spans="1:24" x14ac:dyDescent="0.35">
      <c r="A19" s="1" t="s">
        <v>16</v>
      </c>
      <c r="B19" t="s">
        <v>17</v>
      </c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</row>
    <row r="20" spans="1:24" x14ac:dyDescent="0.35"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</row>
    <row r="21" spans="1:24" ht="14.5" customHeight="1" x14ac:dyDescent="0.35">
      <c r="A21" s="371" t="s">
        <v>173</v>
      </c>
      <c r="B21" s="371" t="s">
        <v>174</v>
      </c>
      <c r="C21" s="371"/>
      <c r="D21" s="371" t="s">
        <v>175</v>
      </c>
      <c r="E21" s="371"/>
      <c r="F21" s="371" t="s">
        <v>176</v>
      </c>
      <c r="G21" s="371"/>
      <c r="H21" s="371" t="s">
        <v>177</v>
      </c>
      <c r="I21" s="371"/>
      <c r="J21" s="371" t="s">
        <v>178</v>
      </c>
      <c r="K21" s="371"/>
      <c r="L21" s="367" t="s">
        <v>179</v>
      </c>
      <c r="M21" s="368"/>
      <c r="N21" s="368"/>
      <c r="O21" s="369"/>
      <c r="P21" s="365" t="s">
        <v>180</v>
      </c>
      <c r="Q21" s="366"/>
      <c r="R21" s="366"/>
      <c r="S21" s="366"/>
      <c r="T21" s="123"/>
      <c r="U21" s="43"/>
      <c r="V21" s="43"/>
      <c r="W21" s="43"/>
    </row>
    <row r="22" spans="1:24" ht="29" x14ac:dyDescent="0.35">
      <c r="A22" s="371"/>
      <c r="B22" s="161" t="s">
        <v>181</v>
      </c>
      <c r="C22" s="161" t="s">
        <v>182</v>
      </c>
      <c r="D22" s="161" t="s">
        <v>181</v>
      </c>
      <c r="E22" s="161" t="s">
        <v>183</v>
      </c>
      <c r="F22" s="161" t="s">
        <v>181</v>
      </c>
      <c r="G22" s="161" t="s">
        <v>182</v>
      </c>
      <c r="H22" s="161" t="s">
        <v>181</v>
      </c>
      <c r="I22" s="161" t="s">
        <v>182</v>
      </c>
      <c r="J22" s="161" t="s">
        <v>181</v>
      </c>
      <c r="K22" s="161" t="s">
        <v>182</v>
      </c>
      <c r="L22" s="161" t="s">
        <v>184</v>
      </c>
      <c r="M22" s="161" t="s">
        <v>185</v>
      </c>
      <c r="N22" s="188" t="s">
        <v>186</v>
      </c>
      <c r="O22" s="195" t="s">
        <v>171</v>
      </c>
      <c r="P22" s="155" t="s">
        <v>184</v>
      </c>
      <c r="Q22" s="155" t="s">
        <v>185</v>
      </c>
      <c r="R22" s="117" t="s">
        <v>186</v>
      </c>
      <c r="S22" s="119" t="s">
        <v>171</v>
      </c>
      <c r="U22" s="43"/>
      <c r="V22" s="43"/>
      <c r="W22" s="43"/>
    </row>
    <row r="23" spans="1:24" x14ac:dyDescent="0.35">
      <c r="A23" s="161" t="s">
        <v>187</v>
      </c>
      <c r="B23" s="121">
        <v>1.1000000000000001</v>
      </c>
      <c r="C23" s="121">
        <v>1.5</v>
      </c>
      <c r="D23" s="121">
        <v>1.3</v>
      </c>
      <c r="E23" s="121">
        <v>1.1000000000000001</v>
      </c>
      <c r="F23" s="121">
        <v>1.5</v>
      </c>
      <c r="G23" s="121">
        <v>0.9</v>
      </c>
      <c r="H23" s="121">
        <v>1.5</v>
      </c>
      <c r="I23" s="121">
        <v>1.5</v>
      </c>
      <c r="J23" s="121">
        <v>1.7</v>
      </c>
      <c r="K23" s="121">
        <v>2.2999999999999998</v>
      </c>
      <c r="L23" s="120">
        <v>1.45</v>
      </c>
      <c r="M23" s="120">
        <v>2.0699999999999998</v>
      </c>
      <c r="N23" s="120">
        <v>0</v>
      </c>
      <c r="O23" s="120">
        <v>0</v>
      </c>
      <c r="P23" s="120">
        <v>1.24</v>
      </c>
      <c r="Q23" s="120">
        <v>2.27</v>
      </c>
      <c r="R23" s="120">
        <v>0</v>
      </c>
      <c r="S23" s="120">
        <v>0</v>
      </c>
      <c r="U23" s="43"/>
      <c r="V23" s="43"/>
      <c r="W23" s="43"/>
    </row>
    <row r="24" spans="1:24" x14ac:dyDescent="0.35">
      <c r="A24" s="161" t="s">
        <v>164</v>
      </c>
      <c r="B24" s="121">
        <v>6.2</v>
      </c>
      <c r="C24" s="121">
        <v>15.5</v>
      </c>
      <c r="D24" s="121">
        <v>5.8</v>
      </c>
      <c r="E24" s="121">
        <v>14.9</v>
      </c>
      <c r="F24" s="121">
        <v>5.6</v>
      </c>
      <c r="G24" s="121">
        <v>13.9</v>
      </c>
      <c r="H24" s="121">
        <v>5.9</v>
      </c>
      <c r="I24" s="121">
        <v>14.9</v>
      </c>
      <c r="J24" s="121">
        <v>6.4</v>
      </c>
      <c r="K24" s="121">
        <v>14.3</v>
      </c>
      <c r="L24" s="120">
        <v>6.63</v>
      </c>
      <c r="M24" s="120">
        <v>13.04</v>
      </c>
      <c r="N24" s="120">
        <v>0.83</v>
      </c>
      <c r="O24" s="120">
        <v>0.21</v>
      </c>
      <c r="P24" s="120">
        <v>7.22</v>
      </c>
      <c r="Q24" s="120">
        <v>12.58</v>
      </c>
      <c r="R24" s="120">
        <v>0.41</v>
      </c>
      <c r="S24" s="120">
        <v>0</v>
      </c>
      <c r="U24" s="43"/>
      <c r="V24" s="43"/>
      <c r="W24" s="43"/>
    </row>
    <row r="25" spans="1:24" x14ac:dyDescent="0.35">
      <c r="A25" s="161" t="s">
        <v>165</v>
      </c>
      <c r="B25" s="121">
        <v>7</v>
      </c>
      <c r="C25" s="121">
        <v>16.8</v>
      </c>
      <c r="D25" s="121">
        <v>8</v>
      </c>
      <c r="E25" s="121">
        <v>17.100000000000001</v>
      </c>
      <c r="F25" s="121">
        <v>8.6</v>
      </c>
      <c r="G25" s="121">
        <v>17.399999999999999</v>
      </c>
      <c r="H25" s="121">
        <v>8.4</v>
      </c>
      <c r="I25" s="121">
        <v>17.600000000000001</v>
      </c>
      <c r="J25" s="121">
        <v>8.1</v>
      </c>
      <c r="K25" s="121">
        <v>18.399999999999999</v>
      </c>
      <c r="L25" s="120">
        <v>7.04</v>
      </c>
      <c r="M25" s="120">
        <v>19.88</v>
      </c>
      <c r="N25" s="120">
        <v>0</v>
      </c>
      <c r="O25" s="120">
        <v>0.83</v>
      </c>
      <c r="P25" s="120">
        <v>7.84</v>
      </c>
      <c r="Q25" s="120">
        <v>18.760000000000002</v>
      </c>
      <c r="R25" s="120">
        <v>0</v>
      </c>
      <c r="S25" s="120">
        <v>0.62</v>
      </c>
      <c r="U25" s="43"/>
      <c r="V25" s="43"/>
      <c r="W25" s="43"/>
    </row>
    <row r="26" spans="1:24" x14ac:dyDescent="0.35">
      <c r="A26" s="161" t="s">
        <v>166</v>
      </c>
      <c r="B26" s="121">
        <v>13.2</v>
      </c>
      <c r="C26" s="121">
        <v>12.1</v>
      </c>
      <c r="D26" s="121">
        <v>12.5</v>
      </c>
      <c r="E26" s="121">
        <v>11.4</v>
      </c>
      <c r="F26" s="121">
        <v>11.6</v>
      </c>
      <c r="G26" s="121">
        <v>12.9</v>
      </c>
      <c r="H26" s="121">
        <v>11.7</v>
      </c>
      <c r="I26" s="121">
        <v>13.8</v>
      </c>
      <c r="J26" s="121">
        <v>10.5</v>
      </c>
      <c r="K26" s="121">
        <v>12.4</v>
      </c>
      <c r="L26" s="120">
        <v>9.52</v>
      </c>
      <c r="M26" s="120">
        <v>11.39</v>
      </c>
      <c r="N26" s="120">
        <v>0</v>
      </c>
      <c r="O26" s="120">
        <v>1.24</v>
      </c>
      <c r="P26" s="120">
        <v>8.66</v>
      </c>
      <c r="Q26" s="120">
        <v>13.2</v>
      </c>
      <c r="R26" s="120">
        <v>0</v>
      </c>
      <c r="S26" s="120">
        <v>1.24</v>
      </c>
      <c r="U26" s="43"/>
      <c r="V26" s="43"/>
      <c r="W26" s="43"/>
    </row>
    <row r="27" spans="1:24" x14ac:dyDescent="0.35">
      <c r="A27" s="161" t="s">
        <v>167</v>
      </c>
      <c r="B27" s="121">
        <v>14</v>
      </c>
      <c r="C27" s="121">
        <v>10.6</v>
      </c>
      <c r="D27" s="121">
        <v>13.8</v>
      </c>
      <c r="E27" s="121">
        <v>10.4</v>
      </c>
      <c r="F27" s="121">
        <v>13.1</v>
      </c>
      <c r="G27" s="121">
        <v>9.6999999999999993</v>
      </c>
      <c r="H27" s="121">
        <v>12.3</v>
      </c>
      <c r="I27" s="121">
        <v>8.8000000000000007</v>
      </c>
      <c r="J27" s="121">
        <v>13</v>
      </c>
      <c r="K27" s="121">
        <v>9.3000000000000007</v>
      </c>
      <c r="L27" s="120">
        <v>12.01</v>
      </c>
      <c r="M27" s="120">
        <v>8.6999999999999993</v>
      </c>
      <c r="N27" s="120">
        <v>0</v>
      </c>
      <c r="O27" s="120">
        <v>0.62</v>
      </c>
      <c r="P27" s="120">
        <v>12.58</v>
      </c>
      <c r="Q27" s="120">
        <v>8.4499999999999993</v>
      </c>
      <c r="R27" s="120">
        <v>0</v>
      </c>
      <c r="S27" s="120">
        <v>0.62</v>
      </c>
      <c r="U27" s="43"/>
      <c r="V27" s="43"/>
      <c r="W27" s="43"/>
    </row>
    <row r="28" spans="1:24" x14ac:dyDescent="0.35">
      <c r="A28" s="161" t="s">
        <v>188</v>
      </c>
      <c r="B28" s="121">
        <v>0.9</v>
      </c>
      <c r="C28" s="121">
        <v>1.1000000000000001</v>
      </c>
      <c r="D28" s="121">
        <v>2.6</v>
      </c>
      <c r="E28" s="121">
        <v>1.1000000000000001</v>
      </c>
      <c r="F28" s="121">
        <v>3.2</v>
      </c>
      <c r="G28" s="121">
        <v>1.7</v>
      </c>
      <c r="H28" s="121">
        <v>2.5</v>
      </c>
      <c r="I28" s="121">
        <v>1.3</v>
      </c>
      <c r="J28" s="121">
        <v>2.7</v>
      </c>
      <c r="K28" s="121">
        <v>1</v>
      </c>
      <c r="L28" s="120">
        <v>3.31</v>
      </c>
      <c r="M28" s="120">
        <v>1.24</v>
      </c>
      <c r="N28" s="120">
        <v>0</v>
      </c>
      <c r="O28" s="120">
        <v>0</v>
      </c>
      <c r="P28" s="120">
        <v>3.09</v>
      </c>
      <c r="Q28" s="120">
        <v>1.24</v>
      </c>
      <c r="R28" s="120">
        <v>0</v>
      </c>
      <c r="S28" s="120">
        <v>0</v>
      </c>
      <c r="U28" s="43"/>
      <c r="V28" s="43"/>
      <c r="W28" s="43"/>
    </row>
    <row r="29" spans="1:24" x14ac:dyDescent="0.35">
      <c r="A29" s="161" t="s">
        <v>189</v>
      </c>
      <c r="B29" s="121">
        <v>42.3</v>
      </c>
      <c r="C29" s="121">
        <v>57.7</v>
      </c>
      <c r="D29" s="121">
        <v>44.1</v>
      </c>
      <c r="E29" s="121">
        <v>55.9</v>
      </c>
      <c r="F29" s="121">
        <v>43.6</v>
      </c>
      <c r="G29" s="121">
        <v>56.4</v>
      </c>
      <c r="H29" s="121">
        <v>42.3</v>
      </c>
      <c r="I29" s="121">
        <v>57.7</v>
      </c>
      <c r="J29" s="121">
        <v>42.4</v>
      </c>
      <c r="K29" s="121">
        <v>57.6</v>
      </c>
      <c r="L29" s="185">
        <f>SUM(L23:L28)</f>
        <v>39.96</v>
      </c>
      <c r="M29" s="120">
        <v>56.31</v>
      </c>
      <c r="N29" s="120">
        <v>0.83</v>
      </c>
      <c r="O29" s="120">
        <v>2.9</v>
      </c>
      <c r="P29" s="120">
        <v>40.619999999999997</v>
      </c>
      <c r="Q29" s="120">
        <v>56.49</v>
      </c>
      <c r="R29" s="120">
        <v>0.41</v>
      </c>
      <c r="S29" s="120">
        <v>2.4700000000000002</v>
      </c>
      <c r="U29" s="43"/>
      <c r="V29" s="43"/>
      <c r="W29" s="43"/>
    </row>
    <row r="30" spans="1:24" x14ac:dyDescent="0.35"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</row>
    <row r="31" spans="1:24" x14ac:dyDescent="0.35">
      <c r="A31" s="1" t="s">
        <v>18</v>
      </c>
      <c r="B31" t="s">
        <v>19</v>
      </c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</row>
    <row r="32" spans="1:24" x14ac:dyDescent="0.35">
      <c r="L32" s="43"/>
      <c r="M32" s="43"/>
      <c r="N32" s="43"/>
      <c r="O32" s="43"/>
      <c r="P32" s="43"/>
      <c r="U32" s="43"/>
      <c r="V32" s="43"/>
      <c r="W32" s="43"/>
    </row>
    <row r="33" spans="1:14" x14ac:dyDescent="0.35">
      <c r="A33" s="10"/>
      <c r="B33" s="370" t="s">
        <v>190</v>
      </c>
      <c r="C33" s="370"/>
      <c r="D33" s="370"/>
      <c r="E33" s="370"/>
      <c r="F33" s="370"/>
      <c r="G33" s="370"/>
      <c r="H33" s="370"/>
      <c r="I33" s="370"/>
      <c r="J33" s="370"/>
      <c r="K33" s="370"/>
      <c r="L33" s="370"/>
      <c r="M33" s="370"/>
    </row>
    <row r="34" spans="1:14" x14ac:dyDescent="0.35">
      <c r="A34" s="186" t="s">
        <v>191</v>
      </c>
      <c r="B34" s="187">
        <v>8</v>
      </c>
      <c r="C34" s="187">
        <v>7</v>
      </c>
      <c r="D34" s="187">
        <v>6</v>
      </c>
      <c r="E34" s="187">
        <v>5</v>
      </c>
      <c r="F34" s="187">
        <v>4</v>
      </c>
      <c r="G34" s="187">
        <v>3</v>
      </c>
      <c r="H34" s="187">
        <v>2</v>
      </c>
      <c r="I34" s="187">
        <v>1</v>
      </c>
      <c r="J34" s="187" t="s">
        <v>128</v>
      </c>
      <c r="K34" s="187" t="s">
        <v>129</v>
      </c>
      <c r="L34" s="187" t="s">
        <v>130</v>
      </c>
      <c r="M34" s="187" t="s">
        <v>131</v>
      </c>
    </row>
    <row r="35" spans="1:14" x14ac:dyDescent="0.35">
      <c r="A35" s="186" t="s">
        <v>163</v>
      </c>
      <c r="B35" s="4">
        <v>3</v>
      </c>
      <c r="C35" s="4">
        <v>10</v>
      </c>
      <c r="D35" s="4">
        <v>3</v>
      </c>
      <c r="E35" s="4">
        <v>0</v>
      </c>
      <c r="F35" s="4">
        <v>1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</row>
    <row r="36" spans="1:14" x14ac:dyDescent="0.35">
      <c r="A36" s="186" t="s">
        <v>164</v>
      </c>
      <c r="B36" s="4">
        <v>4</v>
      </c>
      <c r="C36" s="4">
        <v>40</v>
      </c>
      <c r="D36" s="4">
        <v>19</v>
      </c>
      <c r="E36" s="4">
        <v>13</v>
      </c>
      <c r="F36" s="4">
        <v>15</v>
      </c>
      <c r="G36" s="4">
        <v>6</v>
      </c>
      <c r="H36" s="4">
        <v>1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</row>
    <row r="37" spans="1:14" x14ac:dyDescent="0.35">
      <c r="A37" s="186" t="s">
        <v>165</v>
      </c>
      <c r="B37" s="4">
        <v>12</v>
      </c>
      <c r="C37" s="4">
        <v>22</v>
      </c>
      <c r="D37" s="4">
        <v>18</v>
      </c>
      <c r="E37" s="4">
        <v>22</v>
      </c>
      <c r="F37" s="4">
        <v>35</v>
      </c>
      <c r="G37" s="4">
        <v>14</v>
      </c>
      <c r="H37" s="4">
        <v>5</v>
      </c>
      <c r="I37" s="4">
        <v>1</v>
      </c>
      <c r="J37" s="4">
        <v>2</v>
      </c>
      <c r="K37" s="4">
        <v>1</v>
      </c>
      <c r="L37" s="4">
        <v>0</v>
      </c>
      <c r="M37" s="4">
        <v>0</v>
      </c>
    </row>
    <row r="38" spans="1:14" x14ac:dyDescent="0.35">
      <c r="A38" s="186" t="s">
        <v>166</v>
      </c>
      <c r="B38" s="4">
        <v>10</v>
      </c>
      <c r="C38" s="4">
        <v>27</v>
      </c>
      <c r="D38" s="4">
        <v>17</v>
      </c>
      <c r="E38" s="4">
        <v>11</v>
      </c>
      <c r="F38" s="4">
        <v>16</v>
      </c>
      <c r="G38" s="4">
        <v>15</v>
      </c>
      <c r="H38" s="4">
        <v>5</v>
      </c>
      <c r="I38" s="4">
        <v>3</v>
      </c>
      <c r="J38" s="4">
        <v>2</v>
      </c>
      <c r="K38" s="4">
        <v>3</v>
      </c>
      <c r="L38" s="4">
        <v>3</v>
      </c>
      <c r="M38" s="4">
        <v>0</v>
      </c>
    </row>
    <row r="39" spans="1:14" x14ac:dyDescent="0.35">
      <c r="A39" s="186" t="s">
        <v>167</v>
      </c>
      <c r="B39" s="4">
        <v>7</v>
      </c>
      <c r="C39" s="4">
        <v>39</v>
      </c>
      <c r="D39" s="4">
        <v>15</v>
      </c>
      <c r="E39" s="4">
        <v>6</v>
      </c>
      <c r="F39" s="4">
        <v>11</v>
      </c>
      <c r="G39" s="4">
        <v>7</v>
      </c>
      <c r="H39" s="4">
        <v>7</v>
      </c>
      <c r="I39" s="4">
        <v>6</v>
      </c>
      <c r="J39" s="4">
        <v>4</v>
      </c>
      <c r="K39" s="4">
        <v>1</v>
      </c>
      <c r="L39" s="4">
        <v>1</v>
      </c>
      <c r="M39" s="4">
        <v>1</v>
      </c>
    </row>
    <row r="40" spans="1:14" x14ac:dyDescent="0.35">
      <c r="A40" s="186" t="s">
        <v>168</v>
      </c>
      <c r="B40" s="4">
        <v>6</v>
      </c>
      <c r="C40" s="4">
        <v>6</v>
      </c>
      <c r="D40" s="4">
        <v>2</v>
      </c>
      <c r="E40" s="4">
        <v>3</v>
      </c>
      <c r="F40" s="4">
        <v>1</v>
      </c>
      <c r="G40" s="4">
        <v>1</v>
      </c>
      <c r="H40" s="4">
        <v>0</v>
      </c>
      <c r="I40" s="4">
        <v>1</v>
      </c>
      <c r="J40" s="4">
        <v>0</v>
      </c>
      <c r="K40" s="4">
        <v>1</v>
      </c>
      <c r="L40" s="4">
        <v>0</v>
      </c>
      <c r="M40" s="4">
        <v>0</v>
      </c>
    </row>
    <row r="41" spans="1:14" hidden="1" x14ac:dyDescent="0.35">
      <c r="A41" s="172"/>
      <c r="B41" s="116">
        <f t="shared" ref="B41:M41" si="3">SUM(B35:B40)</f>
        <v>42</v>
      </c>
      <c r="C41" s="116">
        <f t="shared" si="3"/>
        <v>144</v>
      </c>
      <c r="D41" s="116">
        <f t="shared" si="3"/>
        <v>74</v>
      </c>
      <c r="E41" s="116">
        <f t="shared" si="3"/>
        <v>55</v>
      </c>
      <c r="F41" s="116">
        <f t="shared" si="3"/>
        <v>79</v>
      </c>
      <c r="G41" s="116">
        <f t="shared" si="3"/>
        <v>43</v>
      </c>
      <c r="H41" s="116">
        <f t="shared" si="3"/>
        <v>18</v>
      </c>
      <c r="I41" s="116">
        <f t="shared" si="3"/>
        <v>11</v>
      </c>
      <c r="J41" s="116">
        <f t="shared" si="3"/>
        <v>8</v>
      </c>
      <c r="K41" s="116">
        <f t="shared" si="3"/>
        <v>6</v>
      </c>
      <c r="L41" s="116">
        <f t="shared" si="3"/>
        <v>4</v>
      </c>
      <c r="M41" s="116">
        <f t="shared" si="3"/>
        <v>1</v>
      </c>
      <c r="N41" s="43"/>
    </row>
    <row r="42" spans="1:14" hidden="1" x14ac:dyDescent="0.35">
      <c r="A42" s="172" t="s">
        <v>132</v>
      </c>
      <c r="B42" s="4">
        <v>7</v>
      </c>
      <c r="C42" s="4">
        <v>92</v>
      </c>
      <c r="D42" s="4">
        <v>60</v>
      </c>
      <c r="E42" s="4">
        <v>41</v>
      </c>
      <c r="F42" s="4">
        <v>56</v>
      </c>
      <c r="G42" s="4">
        <v>39</v>
      </c>
      <c r="H42" s="4">
        <v>16</v>
      </c>
      <c r="I42" s="4">
        <v>11</v>
      </c>
      <c r="J42" s="4">
        <v>6</v>
      </c>
      <c r="K42" s="4">
        <v>6</v>
      </c>
      <c r="L42" s="4">
        <v>3</v>
      </c>
      <c r="M42" s="4">
        <v>1</v>
      </c>
    </row>
    <row r="43" spans="1:14" hidden="1" x14ac:dyDescent="0.35">
      <c r="A43" s="172" t="s">
        <v>133</v>
      </c>
      <c r="B43" s="4">
        <v>35</v>
      </c>
      <c r="C43" s="4">
        <v>52</v>
      </c>
      <c r="D43" s="4">
        <v>14</v>
      </c>
      <c r="E43" s="4">
        <v>14</v>
      </c>
      <c r="F43" s="4">
        <v>23</v>
      </c>
      <c r="G43" s="4">
        <v>4</v>
      </c>
      <c r="H43" s="4">
        <v>2</v>
      </c>
      <c r="I43" s="4">
        <v>0</v>
      </c>
      <c r="J43" s="4">
        <v>2</v>
      </c>
      <c r="K43" s="4">
        <v>0</v>
      </c>
      <c r="L43" s="4">
        <v>1</v>
      </c>
      <c r="M43" s="4">
        <v>0</v>
      </c>
    </row>
    <row r="44" spans="1:14" hidden="1" x14ac:dyDescent="0.35">
      <c r="A44" s="10"/>
      <c r="K44"/>
    </row>
    <row r="45" spans="1:14" hidden="1" x14ac:dyDescent="0.35">
      <c r="A45" s="172" t="s">
        <v>184</v>
      </c>
      <c r="B45" s="4">
        <v>20</v>
      </c>
      <c r="C45" s="4">
        <v>82</v>
      </c>
      <c r="D45" s="4">
        <v>23</v>
      </c>
      <c r="E45" s="4">
        <v>19</v>
      </c>
      <c r="F45" s="4">
        <v>21</v>
      </c>
      <c r="G45" s="4">
        <v>15</v>
      </c>
      <c r="H45" s="4">
        <v>3</v>
      </c>
      <c r="I45" s="4">
        <v>6</v>
      </c>
      <c r="J45" s="4">
        <v>2</v>
      </c>
      <c r="K45" s="4">
        <v>3</v>
      </c>
      <c r="L45" s="4">
        <v>2</v>
      </c>
      <c r="M45" s="4">
        <v>1</v>
      </c>
    </row>
    <row r="46" spans="1:14" hidden="1" x14ac:dyDescent="0.35">
      <c r="A46" s="172" t="s">
        <v>185</v>
      </c>
      <c r="B46" s="4">
        <v>21</v>
      </c>
      <c r="C46" s="4">
        <v>60</v>
      </c>
      <c r="D46" s="4">
        <v>47</v>
      </c>
      <c r="E46" s="4">
        <v>34</v>
      </c>
      <c r="F46" s="4">
        <v>56</v>
      </c>
      <c r="G46" s="4">
        <v>28</v>
      </c>
      <c r="H46" s="4">
        <v>14</v>
      </c>
      <c r="I46" s="4">
        <v>4</v>
      </c>
      <c r="J46" s="4">
        <v>5</v>
      </c>
      <c r="K46" s="4">
        <v>3</v>
      </c>
      <c r="L46" s="4">
        <v>2</v>
      </c>
      <c r="M46" s="4">
        <v>0</v>
      </c>
    </row>
    <row r="47" spans="1:14" hidden="1" x14ac:dyDescent="0.35">
      <c r="A47" s="172" t="s">
        <v>186</v>
      </c>
      <c r="B47" s="4">
        <v>1</v>
      </c>
      <c r="C47" s="4">
        <v>0</v>
      </c>
      <c r="D47" s="4">
        <v>1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</row>
    <row r="48" spans="1:14" hidden="1" x14ac:dyDescent="0.35">
      <c r="A48" s="172" t="s">
        <v>171</v>
      </c>
      <c r="B48" s="4">
        <v>0</v>
      </c>
      <c r="C48" s="4">
        <v>2</v>
      </c>
      <c r="D48" s="4">
        <v>3</v>
      </c>
      <c r="E48" s="4">
        <v>2</v>
      </c>
      <c r="F48" s="4">
        <v>2</v>
      </c>
      <c r="G48" s="4">
        <v>0</v>
      </c>
      <c r="H48" s="4">
        <v>1</v>
      </c>
      <c r="I48" s="4">
        <v>1</v>
      </c>
      <c r="J48" s="4">
        <v>1</v>
      </c>
      <c r="K48" s="4">
        <v>0</v>
      </c>
      <c r="L48" s="4">
        <v>0</v>
      </c>
      <c r="M48" s="4">
        <v>0</v>
      </c>
    </row>
    <row r="49" spans="1:13" x14ac:dyDescent="0.35">
      <c r="A49" s="10"/>
      <c r="K49"/>
    </row>
    <row r="50" spans="1:13" hidden="1" x14ac:dyDescent="0.35">
      <c r="A50" s="121" t="s">
        <v>169</v>
      </c>
      <c r="B50" s="4">
        <v>3</v>
      </c>
      <c r="C50" s="4">
        <v>21</v>
      </c>
      <c r="D50" s="4">
        <v>9</v>
      </c>
      <c r="E50" s="4">
        <v>4</v>
      </c>
      <c r="F50" s="4">
        <v>6</v>
      </c>
      <c r="G50" s="4">
        <v>4</v>
      </c>
      <c r="H50" s="4">
        <v>1</v>
      </c>
      <c r="I50" s="4">
        <v>1</v>
      </c>
      <c r="J50" s="4">
        <v>1</v>
      </c>
      <c r="K50" s="4">
        <v>0</v>
      </c>
      <c r="L50" s="4">
        <v>0</v>
      </c>
      <c r="M50" s="4">
        <v>0</v>
      </c>
    </row>
    <row r="51" spans="1:13" hidden="1" x14ac:dyDescent="0.35">
      <c r="A51" s="121" t="s">
        <v>170</v>
      </c>
      <c r="B51" s="4">
        <v>37</v>
      </c>
      <c r="C51" s="154">
        <v>118</v>
      </c>
      <c r="D51" s="154">
        <v>60</v>
      </c>
      <c r="E51" s="154">
        <v>48</v>
      </c>
      <c r="F51" s="154">
        <v>69</v>
      </c>
      <c r="G51" s="154">
        <v>38</v>
      </c>
      <c r="H51" s="154">
        <v>14</v>
      </c>
      <c r="I51" s="154">
        <v>9</v>
      </c>
      <c r="J51" s="154">
        <v>5</v>
      </c>
      <c r="K51" s="154">
        <v>6</v>
      </c>
      <c r="L51" s="154">
        <v>3</v>
      </c>
      <c r="M51" s="154">
        <v>1</v>
      </c>
    </row>
    <row r="52" spans="1:13" hidden="1" x14ac:dyDescent="0.35">
      <c r="A52" s="121" t="s">
        <v>171</v>
      </c>
      <c r="B52" s="4">
        <v>2</v>
      </c>
      <c r="C52" s="4">
        <v>5</v>
      </c>
      <c r="D52" s="4">
        <v>5</v>
      </c>
      <c r="E52" s="4">
        <v>3</v>
      </c>
      <c r="F52" s="4">
        <v>4</v>
      </c>
      <c r="G52" s="4">
        <v>1</v>
      </c>
      <c r="H52" s="4">
        <v>3</v>
      </c>
      <c r="I52" s="4">
        <v>1</v>
      </c>
      <c r="J52" s="4">
        <v>2</v>
      </c>
      <c r="K52" s="4">
        <v>0</v>
      </c>
      <c r="L52" s="4">
        <v>1</v>
      </c>
      <c r="M52" s="4">
        <v>0</v>
      </c>
    </row>
    <row r="53" spans="1:13" hidden="1" x14ac:dyDescent="0.35"/>
    <row r="54" spans="1:13" hidden="1" x14ac:dyDescent="0.35">
      <c r="B54">
        <f t="shared" ref="B54:M54" si="4">SUM(B50:B53)</f>
        <v>42</v>
      </c>
      <c r="C54">
        <f t="shared" si="4"/>
        <v>144</v>
      </c>
      <c r="D54">
        <f t="shared" si="4"/>
        <v>74</v>
      </c>
      <c r="E54">
        <f t="shared" si="4"/>
        <v>55</v>
      </c>
      <c r="F54">
        <f t="shared" si="4"/>
        <v>79</v>
      </c>
      <c r="G54">
        <f t="shared" si="4"/>
        <v>43</v>
      </c>
      <c r="H54">
        <f t="shared" si="4"/>
        <v>18</v>
      </c>
      <c r="I54">
        <f t="shared" si="4"/>
        <v>11</v>
      </c>
      <c r="J54">
        <f t="shared" si="4"/>
        <v>8</v>
      </c>
      <c r="K54">
        <f t="shared" si="4"/>
        <v>6</v>
      </c>
      <c r="L54">
        <f t="shared" si="4"/>
        <v>4</v>
      </c>
      <c r="M54">
        <f t="shared" si="4"/>
        <v>1</v>
      </c>
    </row>
    <row r="55" spans="1:13" hidden="1" x14ac:dyDescent="0.35"/>
    <row r="56" spans="1:13" hidden="1" x14ac:dyDescent="0.35">
      <c r="A56" s="121" t="s">
        <v>169</v>
      </c>
      <c r="B56" s="188">
        <f t="shared" ref="B56:M56" si="5">B50/B54</f>
        <v>7.1428571428571425E-2</v>
      </c>
      <c r="C56" s="188">
        <f t="shared" si="5"/>
        <v>0.14583333333333334</v>
      </c>
      <c r="D56" s="188">
        <f t="shared" si="5"/>
        <v>0.12162162162162163</v>
      </c>
      <c r="E56" s="188">
        <f t="shared" si="5"/>
        <v>7.2727272727272724E-2</v>
      </c>
      <c r="F56" s="188">
        <f t="shared" si="5"/>
        <v>7.5949367088607597E-2</v>
      </c>
      <c r="G56" s="188">
        <f t="shared" si="5"/>
        <v>9.3023255813953487E-2</v>
      </c>
      <c r="H56" s="188">
        <f t="shared" si="5"/>
        <v>5.5555555555555552E-2</v>
      </c>
      <c r="I56" s="188">
        <f t="shared" si="5"/>
        <v>9.0909090909090912E-2</v>
      </c>
      <c r="J56" s="188">
        <f t="shared" si="5"/>
        <v>0.125</v>
      </c>
      <c r="K56" s="188">
        <f t="shared" si="5"/>
        <v>0</v>
      </c>
      <c r="L56" s="188">
        <f t="shared" si="5"/>
        <v>0</v>
      </c>
      <c r="M56" s="188">
        <f t="shared" si="5"/>
        <v>0</v>
      </c>
    </row>
    <row r="57" spans="1:13" hidden="1" x14ac:dyDescent="0.35">
      <c r="A57" s="121" t="s">
        <v>170</v>
      </c>
      <c r="B57" s="188">
        <f t="shared" ref="B57:M57" si="6">B51/B54</f>
        <v>0.88095238095238093</v>
      </c>
      <c r="C57" s="188">
        <f t="shared" si="6"/>
        <v>0.81944444444444442</v>
      </c>
      <c r="D57" s="188">
        <f t="shared" si="6"/>
        <v>0.81081081081081086</v>
      </c>
      <c r="E57" s="188">
        <f t="shared" si="6"/>
        <v>0.87272727272727268</v>
      </c>
      <c r="F57" s="188">
        <f t="shared" si="6"/>
        <v>0.87341772151898733</v>
      </c>
      <c r="G57" s="188">
        <f t="shared" si="6"/>
        <v>0.88372093023255816</v>
      </c>
      <c r="H57" s="188">
        <f t="shared" si="6"/>
        <v>0.77777777777777779</v>
      </c>
      <c r="I57" s="188">
        <f t="shared" si="6"/>
        <v>0.81818181818181823</v>
      </c>
      <c r="J57" s="188">
        <f t="shared" si="6"/>
        <v>0.625</v>
      </c>
      <c r="K57" s="188">
        <f t="shared" si="6"/>
        <v>1</v>
      </c>
      <c r="L57" s="188">
        <f t="shared" si="6"/>
        <v>0.75</v>
      </c>
      <c r="M57" s="188">
        <f t="shared" si="6"/>
        <v>1</v>
      </c>
    </row>
    <row r="58" spans="1:13" hidden="1" x14ac:dyDescent="0.35">
      <c r="A58" s="121" t="s">
        <v>171</v>
      </c>
      <c r="B58" s="188">
        <f t="shared" ref="B58:M58" si="7">B52/B54</f>
        <v>4.7619047619047616E-2</v>
      </c>
      <c r="C58" s="188">
        <f t="shared" si="7"/>
        <v>3.4722222222222224E-2</v>
      </c>
      <c r="D58" s="188">
        <f t="shared" si="7"/>
        <v>6.7567567567567571E-2</v>
      </c>
      <c r="E58" s="188">
        <f t="shared" si="7"/>
        <v>5.4545454545454543E-2</v>
      </c>
      <c r="F58" s="188">
        <f t="shared" si="7"/>
        <v>5.0632911392405063E-2</v>
      </c>
      <c r="G58" s="188">
        <f t="shared" si="7"/>
        <v>2.3255813953488372E-2</v>
      </c>
      <c r="H58" s="188">
        <f t="shared" si="7"/>
        <v>0.16666666666666666</v>
      </c>
      <c r="I58" s="188">
        <f t="shared" si="7"/>
        <v>9.0909090909090912E-2</v>
      </c>
      <c r="J58" s="188">
        <f t="shared" si="7"/>
        <v>0.25</v>
      </c>
      <c r="K58" s="188">
        <f t="shared" si="7"/>
        <v>0</v>
      </c>
      <c r="L58" s="188">
        <f t="shared" si="7"/>
        <v>0.25</v>
      </c>
      <c r="M58" s="188">
        <f t="shared" si="7"/>
        <v>0</v>
      </c>
    </row>
    <row r="59" spans="1:13" hidden="1" x14ac:dyDescent="0.35"/>
    <row r="60" spans="1:13" hidden="1" x14ac:dyDescent="0.35">
      <c r="A60" s="355" t="s">
        <v>126</v>
      </c>
      <c r="B60" s="355"/>
      <c r="C60" s="355"/>
      <c r="D60" s="355"/>
      <c r="F60" s="355" t="s">
        <v>126</v>
      </c>
      <c r="G60" s="355"/>
      <c r="H60" s="355"/>
      <c r="I60" s="355"/>
    </row>
    <row r="61" spans="1:13" ht="29" hidden="1" x14ac:dyDescent="0.35">
      <c r="A61" s="172" t="s">
        <v>191</v>
      </c>
      <c r="B61" s="189" t="s">
        <v>169</v>
      </c>
      <c r="C61" s="189" t="s">
        <v>170</v>
      </c>
      <c r="D61" s="189" t="s">
        <v>171</v>
      </c>
      <c r="F61" s="172" t="s">
        <v>191</v>
      </c>
      <c r="G61" s="189" t="s">
        <v>169</v>
      </c>
      <c r="H61" s="189" t="s">
        <v>170</v>
      </c>
      <c r="I61" s="189" t="s">
        <v>171</v>
      </c>
    </row>
    <row r="62" spans="1:13" hidden="1" x14ac:dyDescent="0.35">
      <c r="A62" s="172" t="s">
        <v>163</v>
      </c>
      <c r="B62" s="4">
        <v>2</v>
      </c>
      <c r="C62" s="4">
        <v>15</v>
      </c>
      <c r="D62" s="4">
        <v>0</v>
      </c>
      <c r="F62" s="172" t="s">
        <v>163</v>
      </c>
      <c r="G62" s="5">
        <f>2/17</f>
        <v>0.11764705882352941</v>
      </c>
      <c r="H62" s="5">
        <f>15/17</f>
        <v>0.88235294117647056</v>
      </c>
      <c r="I62" s="5">
        <f>0/17</f>
        <v>0</v>
      </c>
    </row>
    <row r="63" spans="1:13" hidden="1" x14ac:dyDescent="0.35">
      <c r="A63" s="172" t="s">
        <v>164</v>
      </c>
      <c r="B63" s="4">
        <v>8</v>
      </c>
      <c r="C63" s="4">
        <v>88</v>
      </c>
      <c r="D63" s="4">
        <v>2</v>
      </c>
      <c r="F63" s="172" t="s">
        <v>164</v>
      </c>
      <c r="G63" s="5">
        <f>8/98</f>
        <v>8.1632653061224483E-2</v>
      </c>
      <c r="H63" s="5">
        <f>88/98</f>
        <v>0.89795918367346939</v>
      </c>
      <c r="I63" s="5">
        <f>2/98</f>
        <v>2.0408163265306121E-2</v>
      </c>
    </row>
    <row r="64" spans="1:13" hidden="1" x14ac:dyDescent="0.35">
      <c r="A64" s="172" t="s">
        <v>165</v>
      </c>
      <c r="B64" s="4">
        <v>11</v>
      </c>
      <c r="C64" s="4">
        <v>115</v>
      </c>
      <c r="D64" s="4">
        <v>6</v>
      </c>
      <c r="F64" s="172" t="s">
        <v>165</v>
      </c>
      <c r="G64" s="5">
        <f>11/132</f>
        <v>8.3333333333333329E-2</v>
      </c>
      <c r="H64" s="5">
        <f>115/132</f>
        <v>0.87121212121212122</v>
      </c>
      <c r="I64" s="5">
        <f>6/132</f>
        <v>4.5454545454545456E-2</v>
      </c>
    </row>
    <row r="65" spans="1:22" hidden="1" x14ac:dyDescent="0.35">
      <c r="A65" s="172" t="s">
        <v>166</v>
      </c>
      <c r="B65" s="4">
        <v>8</v>
      </c>
      <c r="C65" s="4">
        <v>92</v>
      </c>
      <c r="D65" s="4">
        <v>12</v>
      </c>
      <c r="F65" s="172" t="s">
        <v>166</v>
      </c>
      <c r="G65" s="5">
        <f>8/112</f>
        <v>7.1428571428571425E-2</v>
      </c>
      <c r="H65" s="5" t="e">
        <f>C65/O38</f>
        <v>#DIV/0!</v>
      </c>
      <c r="I65" s="5">
        <f>12/112</f>
        <v>0.10714285714285714</v>
      </c>
    </row>
    <row r="66" spans="1:22" hidden="1" x14ac:dyDescent="0.35">
      <c r="A66" s="172" t="s">
        <v>167</v>
      </c>
      <c r="B66" s="4">
        <v>18</v>
      </c>
      <c r="C66" s="4">
        <v>80</v>
      </c>
      <c r="D66" s="4">
        <v>7</v>
      </c>
      <c r="F66" s="172" t="s">
        <v>167</v>
      </c>
      <c r="G66" s="5">
        <f>18/105</f>
        <v>0.17142857142857143</v>
      </c>
      <c r="H66" s="5">
        <f>80/105</f>
        <v>0.76190476190476186</v>
      </c>
      <c r="I66" s="5">
        <f>7/105</f>
        <v>6.6666666666666666E-2</v>
      </c>
    </row>
    <row r="67" spans="1:22" hidden="1" x14ac:dyDescent="0.35">
      <c r="A67" s="172" t="s">
        <v>168</v>
      </c>
      <c r="B67" s="4">
        <v>3</v>
      </c>
      <c r="C67" s="4">
        <v>18</v>
      </c>
      <c r="D67" s="4">
        <v>0</v>
      </c>
      <c r="F67" s="172" t="s">
        <v>168</v>
      </c>
      <c r="G67" s="5">
        <f>3/21</f>
        <v>0.14285714285714285</v>
      </c>
      <c r="H67" s="5" t="e">
        <f>C67/O40</f>
        <v>#DIV/0!</v>
      </c>
      <c r="I67" s="5">
        <v>0</v>
      </c>
    </row>
    <row r="68" spans="1:22" x14ac:dyDescent="0.35">
      <c r="A68" s="1" t="s">
        <v>20</v>
      </c>
      <c r="B68" t="s">
        <v>21</v>
      </c>
    </row>
    <row r="70" spans="1:22" x14ac:dyDescent="0.35">
      <c r="B70" s="127" t="s">
        <v>192</v>
      </c>
      <c r="C70" s="127"/>
      <c r="D70" s="127"/>
      <c r="E70" s="127"/>
      <c r="F70" s="127"/>
      <c r="G70" s="127"/>
    </row>
    <row r="71" spans="1:22" x14ac:dyDescent="0.35">
      <c r="B71" s="196" t="s">
        <v>187</v>
      </c>
      <c r="C71" s="196" t="s">
        <v>164</v>
      </c>
      <c r="D71" s="196" t="s">
        <v>165</v>
      </c>
      <c r="E71" s="196" t="s">
        <v>166</v>
      </c>
      <c r="F71" s="196" t="s">
        <v>167</v>
      </c>
      <c r="G71" s="196" t="s">
        <v>193</v>
      </c>
    </row>
    <row r="72" spans="1:22" x14ac:dyDescent="0.35">
      <c r="A72" s="3">
        <v>45382</v>
      </c>
      <c r="B72" s="5">
        <v>4.8192771084337352E-2</v>
      </c>
      <c r="C72" s="5">
        <v>0.28915662650602408</v>
      </c>
      <c r="D72" s="5">
        <v>0.27710843373493976</v>
      </c>
      <c r="E72" s="5">
        <v>0.15662650602409639</v>
      </c>
      <c r="F72" s="5">
        <v>0.16867469879518071</v>
      </c>
      <c r="G72" s="5">
        <v>6.0240963855421686E-2</v>
      </c>
    </row>
    <row r="73" spans="1:22" x14ac:dyDescent="0.35">
      <c r="A73" s="3" t="s">
        <v>125</v>
      </c>
      <c r="B73" s="5">
        <v>0.02</v>
      </c>
      <c r="C73" s="5">
        <f>14/60</f>
        <v>0.23333333333333334</v>
      </c>
      <c r="D73" s="5">
        <f>21/60</f>
        <v>0.35</v>
      </c>
      <c r="E73" s="5">
        <f>6/60</f>
        <v>0.1</v>
      </c>
      <c r="F73" s="5">
        <f>14/60</f>
        <v>0.23333333333333334</v>
      </c>
      <c r="G73" s="5">
        <f>4/60</f>
        <v>6.6666666666666666E-2</v>
      </c>
    </row>
    <row r="75" spans="1:22" x14ac:dyDescent="0.35">
      <c r="A75" s="43" t="s">
        <v>22</v>
      </c>
      <c r="B75" t="s">
        <v>194</v>
      </c>
      <c r="K75"/>
    </row>
    <row r="76" spans="1:22" x14ac:dyDescent="0.35">
      <c r="K76"/>
    </row>
    <row r="77" spans="1:22" x14ac:dyDescent="0.35">
      <c r="A77" s="356" t="s">
        <v>114</v>
      </c>
      <c r="B77" s="353" t="s">
        <v>187</v>
      </c>
      <c r="C77" s="353"/>
      <c r="D77" s="353"/>
      <c r="E77" s="353" t="s">
        <v>164</v>
      </c>
      <c r="F77" s="353"/>
      <c r="G77" s="353"/>
      <c r="H77" s="353" t="s">
        <v>165</v>
      </c>
      <c r="I77" s="353"/>
      <c r="J77" s="353"/>
      <c r="K77" s="353" t="s">
        <v>166</v>
      </c>
      <c r="L77" s="353"/>
      <c r="M77" s="353"/>
      <c r="N77" s="353" t="s">
        <v>167</v>
      </c>
      <c r="O77" s="353"/>
      <c r="P77" s="353"/>
      <c r="Q77" s="353" t="s">
        <v>168</v>
      </c>
      <c r="R77" s="353"/>
      <c r="S77" s="353"/>
      <c r="T77" s="353" t="s">
        <v>171</v>
      </c>
      <c r="U77" s="353"/>
      <c r="V77" s="353"/>
    </row>
    <row r="78" spans="1:22" x14ac:dyDescent="0.35">
      <c r="A78" s="356"/>
      <c r="B78" s="121" t="s">
        <v>195</v>
      </c>
      <c r="C78" s="121" t="s">
        <v>138</v>
      </c>
      <c r="D78" s="121" t="s">
        <v>196</v>
      </c>
      <c r="E78" s="121" t="s">
        <v>195</v>
      </c>
      <c r="F78" s="121" t="s">
        <v>138</v>
      </c>
      <c r="G78" s="121" t="s">
        <v>196</v>
      </c>
      <c r="H78" s="121" t="s">
        <v>195</v>
      </c>
      <c r="I78" s="121" t="s">
        <v>138</v>
      </c>
      <c r="J78" s="121" t="s">
        <v>196</v>
      </c>
      <c r="K78" s="121" t="s">
        <v>195</v>
      </c>
      <c r="L78" s="121" t="s">
        <v>138</v>
      </c>
      <c r="M78" s="121" t="s">
        <v>196</v>
      </c>
      <c r="N78" s="121" t="s">
        <v>195</v>
      </c>
      <c r="O78" s="121" t="s">
        <v>138</v>
      </c>
      <c r="P78" s="121" t="s">
        <v>196</v>
      </c>
      <c r="Q78" s="121" t="s">
        <v>195</v>
      </c>
      <c r="R78" s="121" t="s">
        <v>138</v>
      </c>
      <c r="S78" s="121" t="s">
        <v>196</v>
      </c>
      <c r="T78" s="121" t="s">
        <v>195</v>
      </c>
      <c r="U78" s="121" t="s">
        <v>138</v>
      </c>
      <c r="V78" s="121" t="s">
        <v>196</v>
      </c>
    </row>
    <row r="79" spans="1:22" x14ac:dyDescent="0.35">
      <c r="A79" s="3">
        <v>44286</v>
      </c>
      <c r="B79" s="4">
        <v>382</v>
      </c>
      <c r="C79" s="4">
        <v>9</v>
      </c>
      <c r="D79" s="4">
        <v>3</v>
      </c>
      <c r="E79" s="4">
        <v>1369</v>
      </c>
      <c r="F79" s="4">
        <v>62</v>
      </c>
      <c r="G79" s="4">
        <v>12</v>
      </c>
      <c r="H79" s="4">
        <v>330</v>
      </c>
      <c r="I79" s="4">
        <v>37</v>
      </c>
      <c r="J79" s="4">
        <v>4</v>
      </c>
      <c r="K79" s="4">
        <v>191</v>
      </c>
      <c r="L79" s="4">
        <v>27</v>
      </c>
      <c r="M79" s="4">
        <v>6</v>
      </c>
      <c r="N79" s="4">
        <v>116</v>
      </c>
      <c r="O79" s="4">
        <v>15</v>
      </c>
      <c r="P79" s="4">
        <v>2</v>
      </c>
      <c r="Q79" s="4">
        <v>9</v>
      </c>
      <c r="R79" s="4">
        <v>1</v>
      </c>
      <c r="S79" s="13">
        <v>0</v>
      </c>
      <c r="T79" s="4">
        <v>93</v>
      </c>
      <c r="U79" s="4">
        <v>10</v>
      </c>
      <c r="V79" s="4">
        <v>4</v>
      </c>
    </row>
    <row r="80" spans="1:22" x14ac:dyDescent="0.35">
      <c r="A80" s="3">
        <v>44651</v>
      </c>
      <c r="B80" s="4">
        <v>133</v>
      </c>
      <c r="C80" s="4">
        <v>4</v>
      </c>
      <c r="D80" s="4">
        <v>1</v>
      </c>
      <c r="E80" s="4">
        <v>363</v>
      </c>
      <c r="F80" s="4">
        <v>54</v>
      </c>
      <c r="G80" s="4">
        <v>17</v>
      </c>
      <c r="H80" s="4">
        <v>109</v>
      </c>
      <c r="I80" s="4">
        <v>25</v>
      </c>
      <c r="J80" s="4">
        <v>10</v>
      </c>
      <c r="K80" s="4">
        <v>79</v>
      </c>
      <c r="L80" s="4">
        <v>23</v>
      </c>
      <c r="M80" s="4">
        <v>7</v>
      </c>
      <c r="N80" s="4">
        <v>47</v>
      </c>
      <c r="O80" s="4">
        <v>16</v>
      </c>
      <c r="P80" s="4">
        <v>5</v>
      </c>
      <c r="Q80" s="4">
        <v>2</v>
      </c>
      <c r="R80" s="4">
        <v>1</v>
      </c>
      <c r="S80" s="13">
        <v>0</v>
      </c>
      <c r="T80" s="4">
        <v>219</v>
      </c>
      <c r="U80" s="4">
        <v>73</v>
      </c>
      <c r="V80" s="4">
        <v>19</v>
      </c>
    </row>
    <row r="81" spans="1:22" x14ac:dyDescent="0.35">
      <c r="A81" s="3">
        <v>45016</v>
      </c>
      <c r="B81" s="4">
        <v>308</v>
      </c>
      <c r="C81" s="4">
        <v>29</v>
      </c>
      <c r="D81" s="4">
        <v>8</v>
      </c>
      <c r="E81" s="4">
        <v>659</v>
      </c>
      <c r="F81" s="4">
        <v>123</v>
      </c>
      <c r="G81" s="4">
        <v>32</v>
      </c>
      <c r="H81" s="4">
        <v>239</v>
      </c>
      <c r="I81" s="4">
        <v>54</v>
      </c>
      <c r="J81" s="4">
        <v>16</v>
      </c>
      <c r="K81" s="4">
        <v>133</v>
      </c>
      <c r="L81" s="4">
        <v>42</v>
      </c>
      <c r="M81" s="4">
        <v>11</v>
      </c>
      <c r="N81" s="4">
        <v>78</v>
      </c>
      <c r="O81" s="4">
        <v>28</v>
      </c>
      <c r="P81" s="4">
        <v>5</v>
      </c>
      <c r="Q81" s="4">
        <v>8</v>
      </c>
      <c r="R81" s="4">
        <v>20</v>
      </c>
      <c r="S81" s="13">
        <v>0</v>
      </c>
      <c r="T81" s="4">
        <v>58</v>
      </c>
      <c r="U81" s="4">
        <v>12</v>
      </c>
      <c r="V81" s="4">
        <v>5</v>
      </c>
    </row>
    <row r="82" spans="1:22" x14ac:dyDescent="0.35">
      <c r="A82" s="3">
        <v>45382</v>
      </c>
      <c r="B82" s="4">
        <v>652</v>
      </c>
      <c r="C82" s="4">
        <v>93</v>
      </c>
      <c r="D82" s="4">
        <v>9</v>
      </c>
      <c r="E82" s="4">
        <v>1016</v>
      </c>
      <c r="F82" s="4">
        <v>164</v>
      </c>
      <c r="G82" s="4">
        <v>23</v>
      </c>
      <c r="H82" s="4">
        <v>454</v>
      </c>
      <c r="I82" s="4">
        <v>78</v>
      </c>
      <c r="J82" s="4">
        <v>12</v>
      </c>
      <c r="K82" s="4">
        <v>253</v>
      </c>
      <c r="L82" s="4">
        <v>50</v>
      </c>
      <c r="M82" s="4">
        <v>6</v>
      </c>
      <c r="N82" s="4">
        <v>177</v>
      </c>
      <c r="O82" s="4">
        <v>44</v>
      </c>
      <c r="P82" s="4">
        <v>3</v>
      </c>
      <c r="Q82" s="4">
        <v>18</v>
      </c>
      <c r="R82" s="4">
        <v>3</v>
      </c>
      <c r="S82" s="4">
        <v>1</v>
      </c>
      <c r="T82" s="4">
        <v>100</v>
      </c>
      <c r="U82" s="4">
        <v>26</v>
      </c>
      <c r="V82" s="4">
        <v>7</v>
      </c>
    </row>
    <row r="83" spans="1:22" x14ac:dyDescent="0.35">
      <c r="A83" s="3" t="s">
        <v>125</v>
      </c>
      <c r="B83" s="4">
        <v>1134</v>
      </c>
      <c r="C83" s="4">
        <v>106</v>
      </c>
      <c r="D83" s="4">
        <v>9</v>
      </c>
      <c r="E83" s="4">
        <v>2102</v>
      </c>
      <c r="F83" s="4">
        <v>316</v>
      </c>
      <c r="G83" s="4">
        <v>30</v>
      </c>
      <c r="H83" s="4">
        <v>846</v>
      </c>
      <c r="I83" s="4">
        <v>171</v>
      </c>
      <c r="J83" s="4">
        <v>24</v>
      </c>
      <c r="K83" s="4">
        <v>415</v>
      </c>
      <c r="L83" s="4">
        <v>102</v>
      </c>
      <c r="M83" s="4">
        <v>10</v>
      </c>
      <c r="N83" s="4">
        <v>323</v>
      </c>
      <c r="O83" s="4">
        <v>70</v>
      </c>
      <c r="P83" s="4">
        <v>9</v>
      </c>
      <c r="Q83" s="4">
        <v>33</v>
      </c>
      <c r="R83" s="4">
        <v>2</v>
      </c>
      <c r="S83" s="13">
        <v>0</v>
      </c>
      <c r="T83" s="4">
        <v>146</v>
      </c>
      <c r="U83" s="4">
        <v>22</v>
      </c>
      <c r="V83" s="4">
        <v>1</v>
      </c>
    </row>
    <row r="85" spans="1:22" x14ac:dyDescent="0.35">
      <c r="A85" s="43" t="s">
        <v>24</v>
      </c>
      <c r="B85" t="s">
        <v>25</v>
      </c>
    </row>
    <row r="86" spans="1:22" ht="15" thickBot="1" x14ac:dyDescent="0.4"/>
    <row r="87" spans="1:22" x14ac:dyDescent="0.35">
      <c r="A87" s="190"/>
      <c r="B87" s="191"/>
      <c r="C87" s="363" t="s">
        <v>197</v>
      </c>
      <c r="D87" s="363"/>
      <c r="E87" s="363"/>
      <c r="F87" s="363"/>
      <c r="G87" s="363"/>
      <c r="H87" s="364"/>
    </row>
    <row r="88" spans="1:22" x14ac:dyDescent="0.35">
      <c r="A88" s="284"/>
      <c r="B88" s="284"/>
      <c r="C88" s="196" t="s">
        <v>187</v>
      </c>
      <c r="D88" s="196" t="s">
        <v>164</v>
      </c>
      <c r="E88" s="196" t="s">
        <v>165</v>
      </c>
      <c r="F88" s="196" t="s">
        <v>166</v>
      </c>
      <c r="G88" s="196" t="s">
        <v>167</v>
      </c>
      <c r="H88" s="196" t="s">
        <v>193</v>
      </c>
    </row>
    <row r="89" spans="1:22" x14ac:dyDescent="0.35">
      <c r="A89" s="356" t="s">
        <v>198</v>
      </c>
      <c r="B89" s="67" t="s">
        <v>199</v>
      </c>
      <c r="C89" s="5">
        <f>1/19</f>
        <v>5.2631578947368418E-2</v>
      </c>
      <c r="D89" s="5">
        <f>2/19</f>
        <v>0.10526315789473684</v>
      </c>
      <c r="E89" s="5">
        <f>6/19</f>
        <v>0.31578947368421051</v>
      </c>
      <c r="F89" s="5">
        <f>3/19</f>
        <v>0.15789473684210525</v>
      </c>
      <c r="G89" s="5">
        <f>2/19</f>
        <v>0.10526315789473684</v>
      </c>
      <c r="H89" s="5">
        <f>0/19</f>
        <v>0</v>
      </c>
    </row>
    <row r="90" spans="1:22" ht="29" x14ac:dyDescent="0.35">
      <c r="A90" s="356"/>
      <c r="B90" s="67" t="s">
        <v>200</v>
      </c>
      <c r="C90" s="5">
        <v>0</v>
      </c>
      <c r="D90" s="5">
        <v>0</v>
      </c>
      <c r="E90" s="5">
        <f>3/19</f>
        <v>0.15789473684210525</v>
      </c>
      <c r="F90" s="5">
        <f>1/19</f>
        <v>5.2631578947368418E-2</v>
      </c>
      <c r="G90" s="5">
        <f>1/19</f>
        <v>5.2631578947368418E-2</v>
      </c>
      <c r="H90" s="5">
        <v>0</v>
      </c>
    </row>
    <row r="91" spans="1:22" x14ac:dyDescent="0.35">
      <c r="A91" s="362" t="s">
        <v>201</v>
      </c>
      <c r="B91" s="362"/>
      <c r="C91" s="285">
        <f>1/19</f>
        <v>5.2631578947368418E-2</v>
      </c>
      <c r="D91" s="285">
        <f>2/19</f>
        <v>0.10526315789473684</v>
      </c>
      <c r="E91" s="285">
        <f>9/19</f>
        <v>0.47368421052631576</v>
      </c>
      <c r="F91" s="285">
        <f>4/19</f>
        <v>0.21052631578947367</v>
      </c>
      <c r="G91" s="285">
        <f>3/19</f>
        <v>0.15789473684210525</v>
      </c>
      <c r="H91" s="285">
        <v>0</v>
      </c>
    </row>
    <row r="92" spans="1:22" x14ac:dyDescent="0.35">
      <c r="A92" s="356" t="s">
        <v>202</v>
      </c>
      <c r="B92" s="67" t="s">
        <v>199</v>
      </c>
      <c r="C92" s="5">
        <v>0</v>
      </c>
      <c r="D92" s="5">
        <f>2/15</f>
        <v>0.13333333333333333</v>
      </c>
      <c r="E92" s="5">
        <f>3/15</f>
        <v>0.2</v>
      </c>
      <c r="F92" s="5">
        <f>2/15</f>
        <v>0.13333333333333333</v>
      </c>
      <c r="G92" s="5">
        <f>1/15</f>
        <v>6.6666666666666666E-2</v>
      </c>
      <c r="H92" s="5">
        <f>0/15</f>
        <v>0</v>
      </c>
    </row>
    <row r="93" spans="1:22" ht="29" x14ac:dyDescent="0.35">
      <c r="A93" s="356"/>
      <c r="B93" s="67" t="s">
        <v>200</v>
      </c>
      <c r="C93" s="5">
        <f>0/15</f>
        <v>0</v>
      </c>
      <c r="D93" s="5">
        <v>0</v>
      </c>
      <c r="E93" s="5">
        <f>3/15</f>
        <v>0.2</v>
      </c>
      <c r="F93" s="5">
        <f>3/15</f>
        <v>0.2</v>
      </c>
      <c r="G93" s="5">
        <f>0/15</f>
        <v>0</v>
      </c>
      <c r="H93" s="5">
        <f>1/15</f>
        <v>6.6666666666666666E-2</v>
      </c>
    </row>
    <row r="94" spans="1:22" x14ac:dyDescent="0.35">
      <c r="A94" s="362" t="s">
        <v>203</v>
      </c>
      <c r="B94" s="362"/>
      <c r="C94" s="285">
        <v>0</v>
      </c>
      <c r="D94" s="285">
        <f>2/15</f>
        <v>0.13333333333333333</v>
      </c>
      <c r="E94" s="285">
        <f>6/15</f>
        <v>0.4</v>
      </c>
      <c r="F94" s="285">
        <f>5/15</f>
        <v>0.33333333333333331</v>
      </c>
      <c r="G94" s="285">
        <f>1/15</f>
        <v>6.6666666666666666E-2</v>
      </c>
      <c r="H94" s="285">
        <f>1/15</f>
        <v>6.6666666666666666E-2</v>
      </c>
    </row>
    <row r="96" spans="1:22" x14ac:dyDescent="0.35">
      <c r="A96" s="43" t="s">
        <v>26</v>
      </c>
      <c r="B96" t="s">
        <v>27</v>
      </c>
    </row>
    <row r="98" spans="1:11" x14ac:dyDescent="0.35">
      <c r="A98" s="197" t="s">
        <v>173</v>
      </c>
      <c r="B98" s="198" t="s">
        <v>204</v>
      </c>
      <c r="C98" s="198" t="s">
        <v>205</v>
      </c>
      <c r="D98" s="198" t="s">
        <v>206</v>
      </c>
      <c r="E98" s="198" t="s">
        <v>153</v>
      </c>
      <c r="F98" s="198" t="s">
        <v>154</v>
      </c>
      <c r="G98" s="198" t="s">
        <v>207</v>
      </c>
    </row>
    <row r="99" spans="1:11" x14ac:dyDescent="0.35">
      <c r="A99" s="197" t="s">
        <v>187</v>
      </c>
      <c r="B99" s="121">
        <v>9</v>
      </c>
      <c r="C99" s="121">
        <v>7</v>
      </c>
      <c r="D99" s="121">
        <v>10</v>
      </c>
      <c r="E99" s="121">
        <v>15</v>
      </c>
      <c r="F99" s="166">
        <v>18</v>
      </c>
      <c r="G99" s="166">
        <v>14</v>
      </c>
    </row>
    <row r="100" spans="1:11" x14ac:dyDescent="0.35">
      <c r="A100" s="197" t="s">
        <v>164</v>
      </c>
      <c r="B100" s="121">
        <v>72</v>
      </c>
      <c r="C100" s="121">
        <v>60</v>
      </c>
      <c r="D100" s="121">
        <v>61</v>
      </c>
      <c r="E100" s="121">
        <v>73</v>
      </c>
      <c r="F100" s="166">
        <v>101</v>
      </c>
      <c r="G100" s="166">
        <v>70</v>
      </c>
    </row>
    <row r="101" spans="1:11" x14ac:dyDescent="0.35">
      <c r="A101" s="197" t="s">
        <v>165</v>
      </c>
      <c r="B101" s="121">
        <v>96</v>
      </c>
      <c r="C101" s="121">
        <v>85</v>
      </c>
      <c r="D101" s="121">
        <v>69</v>
      </c>
      <c r="E101" s="121">
        <v>81</v>
      </c>
      <c r="F101" s="166">
        <v>123</v>
      </c>
      <c r="G101" s="166">
        <v>70</v>
      </c>
    </row>
    <row r="102" spans="1:11" x14ac:dyDescent="0.35">
      <c r="A102" s="197" t="s">
        <v>166</v>
      </c>
      <c r="B102" s="121">
        <v>83</v>
      </c>
      <c r="C102" s="121">
        <v>76</v>
      </c>
      <c r="D102" s="121">
        <v>58</v>
      </c>
      <c r="E102" s="121">
        <v>63</v>
      </c>
      <c r="F102" s="166">
        <v>94</v>
      </c>
      <c r="G102" s="166">
        <v>63</v>
      </c>
    </row>
    <row r="103" spans="1:11" x14ac:dyDescent="0.35">
      <c r="A103" s="197" t="s">
        <v>167</v>
      </c>
      <c r="B103" s="121">
        <v>70</v>
      </c>
      <c r="C103" s="121">
        <v>69</v>
      </c>
      <c r="D103" s="121">
        <v>52</v>
      </c>
      <c r="E103" s="121">
        <v>63</v>
      </c>
      <c r="F103" s="166">
        <v>84</v>
      </c>
      <c r="G103" s="166">
        <v>54</v>
      </c>
    </row>
    <row r="104" spans="1:11" x14ac:dyDescent="0.35">
      <c r="A104" s="197" t="s">
        <v>193</v>
      </c>
      <c r="B104" s="121">
        <v>15</v>
      </c>
      <c r="C104" s="121">
        <v>10</v>
      </c>
      <c r="D104" s="121">
        <v>4</v>
      </c>
      <c r="E104" s="121">
        <v>5</v>
      </c>
      <c r="F104" s="166">
        <v>19</v>
      </c>
      <c r="G104" s="166">
        <v>4</v>
      </c>
    </row>
    <row r="105" spans="1:11" x14ac:dyDescent="0.35">
      <c r="A105" s="197" t="s">
        <v>158</v>
      </c>
      <c r="B105" s="121">
        <v>345</v>
      </c>
      <c r="C105" s="121">
        <v>308</v>
      </c>
      <c r="D105" s="121">
        <v>254</v>
      </c>
      <c r="E105" s="121">
        <v>300</v>
      </c>
      <c r="F105" s="61">
        <f>SUM(F99:F104)</f>
        <v>439</v>
      </c>
      <c r="G105" s="61">
        <f>SUM(G99:G104)</f>
        <v>275</v>
      </c>
    </row>
    <row r="107" spans="1:11" x14ac:dyDescent="0.35">
      <c r="A107" s="2" t="s">
        <v>28</v>
      </c>
      <c r="B107" t="s">
        <v>29</v>
      </c>
    </row>
    <row r="109" spans="1:11" x14ac:dyDescent="0.35">
      <c r="A109" s="199" t="s">
        <v>208</v>
      </c>
      <c r="B109" s="200" t="s">
        <v>115</v>
      </c>
      <c r="C109" s="201"/>
      <c r="D109" s="201"/>
      <c r="E109" s="201"/>
      <c r="F109" s="201"/>
      <c r="G109" s="201"/>
      <c r="H109" s="201"/>
      <c r="J109" s="201"/>
      <c r="K109" s="201"/>
    </row>
    <row r="110" spans="1:11" x14ac:dyDescent="0.35">
      <c r="A110" s="202" t="s">
        <v>209</v>
      </c>
      <c r="B110" s="203">
        <v>3</v>
      </c>
      <c r="C110" s="204"/>
      <c r="D110" s="204"/>
      <c r="E110" s="204"/>
      <c r="F110" s="204"/>
      <c r="G110" s="204"/>
      <c r="H110" s="204"/>
      <c r="J110" s="205"/>
      <c r="K110" s="205"/>
    </row>
    <row r="111" spans="1:11" x14ac:dyDescent="0.35">
      <c r="A111" s="202" t="s">
        <v>210</v>
      </c>
      <c r="B111" s="203">
        <v>19</v>
      </c>
      <c r="C111" s="204"/>
      <c r="D111" s="204"/>
      <c r="E111" s="204"/>
      <c r="F111" s="204"/>
      <c r="G111" s="204"/>
      <c r="H111" s="204"/>
      <c r="J111" s="205"/>
      <c r="K111" s="205"/>
    </row>
    <row r="112" spans="1:11" x14ac:dyDescent="0.35">
      <c r="A112" s="202" t="s">
        <v>211</v>
      </c>
      <c r="B112" s="203">
        <v>12</v>
      </c>
      <c r="C112" s="204"/>
      <c r="D112" s="204"/>
      <c r="E112" s="204"/>
      <c r="F112" s="204"/>
      <c r="G112" s="204"/>
      <c r="H112" s="204"/>
      <c r="J112" s="205"/>
      <c r="K112" s="205"/>
    </row>
    <row r="113" spans="1:11" x14ac:dyDescent="0.35">
      <c r="A113" s="202" t="s">
        <v>212</v>
      </c>
      <c r="B113" s="203">
        <v>3</v>
      </c>
      <c r="C113" s="204"/>
      <c r="D113" s="204"/>
      <c r="E113" s="204"/>
      <c r="F113" s="204"/>
      <c r="G113" s="204"/>
      <c r="H113" s="204"/>
      <c r="J113" s="205"/>
      <c r="K113" s="205"/>
    </row>
    <row r="114" spans="1:11" x14ac:dyDescent="0.35">
      <c r="A114" s="202" t="s">
        <v>213</v>
      </c>
      <c r="B114" s="203">
        <v>2</v>
      </c>
      <c r="C114" s="204"/>
      <c r="D114" s="204"/>
      <c r="E114" s="204"/>
      <c r="F114" s="204"/>
      <c r="G114" s="204"/>
      <c r="H114" s="204"/>
      <c r="J114" s="205"/>
      <c r="K114" s="205"/>
    </row>
    <row r="115" spans="1:11" x14ac:dyDescent="0.35">
      <c r="A115" s="202" t="s">
        <v>214</v>
      </c>
      <c r="B115" s="203">
        <v>2</v>
      </c>
      <c r="C115" s="204"/>
      <c r="D115" s="204"/>
      <c r="E115" s="204"/>
      <c r="F115" s="204"/>
      <c r="G115" s="204"/>
      <c r="H115" s="204"/>
      <c r="J115" s="205"/>
      <c r="K115" s="205"/>
    </row>
    <row r="116" spans="1:11" x14ac:dyDescent="0.35">
      <c r="A116" s="202" t="s">
        <v>215</v>
      </c>
      <c r="B116" s="203">
        <v>2</v>
      </c>
      <c r="C116" s="204"/>
      <c r="D116" s="204"/>
      <c r="E116" s="204"/>
      <c r="F116" s="204"/>
      <c r="G116" s="204"/>
      <c r="H116" s="204"/>
      <c r="J116" s="205"/>
      <c r="K116" s="205"/>
    </row>
    <row r="117" spans="1:11" x14ac:dyDescent="0.35">
      <c r="A117" s="202" t="s">
        <v>216</v>
      </c>
      <c r="B117" s="203">
        <v>1</v>
      </c>
      <c r="C117" s="204"/>
      <c r="D117" s="204"/>
      <c r="E117" s="204"/>
      <c r="F117" s="204"/>
      <c r="G117" s="204"/>
      <c r="H117" s="204"/>
      <c r="J117" s="205"/>
      <c r="K117" s="205"/>
    </row>
    <row r="118" spans="1:11" x14ac:dyDescent="0.35">
      <c r="A118" s="202" t="s">
        <v>217</v>
      </c>
      <c r="B118" s="203">
        <v>4</v>
      </c>
      <c r="C118" s="204"/>
      <c r="D118" s="204"/>
      <c r="E118" s="204"/>
      <c r="F118" s="204"/>
      <c r="G118" s="204"/>
      <c r="H118" s="204"/>
      <c r="J118" s="205"/>
      <c r="K118" s="205"/>
    </row>
    <row r="119" spans="1:11" x14ac:dyDescent="0.35">
      <c r="A119" s="202" t="s">
        <v>218</v>
      </c>
      <c r="B119" s="203">
        <v>2</v>
      </c>
      <c r="C119" s="204"/>
      <c r="D119" s="204"/>
      <c r="E119" s="204"/>
      <c r="F119" s="204"/>
      <c r="G119" s="204"/>
      <c r="H119" s="204"/>
      <c r="J119" s="205"/>
      <c r="K119" s="205"/>
    </row>
    <row r="120" spans="1:11" x14ac:dyDescent="0.35">
      <c r="A120" s="202" t="s">
        <v>219</v>
      </c>
      <c r="B120" s="203">
        <v>5</v>
      </c>
      <c r="C120" s="204"/>
      <c r="D120" s="204"/>
      <c r="E120" s="204"/>
      <c r="F120" s="204"/>
      <c r="G120" s="204"/>
      <c r="H120" s="204"/>
      <c r="J120" s="205"/>
      <c r="K120" s="205"/>
    </row>
    <row r="123" spans="1:11" x14ac:dyDescent="0.35">
      <c r="A123" s="354" t="s">
        <v>159</v>
      </c>
      <c r="B123" s="354"/>
      <c r="C123" s="354"/>
      <c r="D123" s="354"/>
      <c r="E123" s="354"/>
    </row>
    <row r="124" spans="1:11" x14ac:dyDescent="0.35">
      <c r="A124" s="350" t="s">
        <v>160</v>
      </c>
      <c r="B124" s="350"/>
      <c r="C124" s="350"/>
      <c r="D124" s="350"/>
      <c r="E124" s="350"/>
    </row>
    <row r="125" spans="1:11" x14ac:dyDescent="0.35">
      <c r="A125" t="s">
        <v>220</v>
      </c>
    </row>
  </sheetData>
  <sheetProtection algorithmName="SHA-512" hashValue="l9A0TzTdrtXLDVvvpuYcuUNeWVCOy/4BZYs9daUxE4lNaL9Obsne3H89KhGnwFYBQs5RPqkw3I6EQpI+sBMdCA==" saltValue="CUjGlJhxyhbh0P/cmmOQgg==" spinCount="100000" sheet="1" formatCells="0" formatColumns="0" formatRows="0" insertColumns="0" insertRows="0" insertHyperlinks="0" deleteColumns="0" deleteRows="0" sort="0" autoFilter="0" pivotTables="0"/>
  <mergeCells count="26">
    <mergeCell ref="P21:S21"/>
    <mergeCell ref="L21:O21"/>
    <mergeCell ref="B33:M33"/>
    <mergeCell ref="A60:D60"/>
    <mergeCell ref="F60:I60"/>
    <mergeCell ref="A21:A22"/>
    <mergeCell ref="B21:C21"/>
    <mergeCell ref="D21:E21"/>
    <mergeCell ref="F21:G21"/>
    <mergeCell ref="H21:I21"/>
    <mergeCell ref="J21:K21"/>
    <mergeCell ref="A123:E123"/>
    <mergeCell ref="A124:E124"/>
    <mergeCell ref="A94:B94"/>
    <mergeCell ref="C87:H87"/>
    <mergeCell ref="A89:A90"/>
    <mergeCell ref="A91:B91"/>
    <mergeCell ref="A92:A93"/>
    <mergeCell ref="Q77:S77"/>
    <mergeCell ref="T77:V77"/>
    <mergeCell ref="A77:A78"/>
    <mergeCell ref="B77:D77"/>
    <mergeCell ref="E77:G77"/>
    <mergeCell ref="H77:J77"/>
    <mergeCell ref="K77:M77"/>
    <mergeCell ref="N77:P77"/>
  </mergeCells>
  <pageMargins left="0.7" right="0.7" top="0.75" bottom="0.75" header="0.3" footer="0.3"/>
  <ignoredErrors>
    <ignoredError sqref="H66 E92 G93" formula="1"/>
    <ignoredError sqref="B41:J4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67467-1E19-47C7-8A7B-9BAEFDEA29C5}">
  <dimension ref="A1:AF92"/>
  <sheetViews>
    <sheetView showGridLines="0" zoomScale="80" zoomScaleNormal="80" workbookViewId="0">
      <selection activeCell="E30" sqref="E30"/>
    </sheetView>
  </sheetViews>
  <sheetFormatPr defaultRowHeight="14.5" x14ac:dyDescent="0.35"/>
  <cols>
    <col min="1" max="1" width="22.81640625" bestFit="1" customWidth="1"/>
    <col min="2" max="2" width="15.453125" customWidth="1"/>
    <col min="3" max="3" width="8.54296875" customWidth="1"/>
    <col min="4" max="4" width="9.81640625" customWidth="1"/>
    <col min="5" max="5" width="10.453125" customWidth="1"/>
    <col min="7" max="7" width="11.54296875" customWidth="1"/>
    <col min="8" max="8" width="11.1796875" customWidth="1"/>
    <col min="12" max="12" width="10.1796875" customWidth="1"/>
    <col min="18" max="18" width="11.1796875" customWidth="1"/>
    <col min="20" max="20" width="10.1796875" customWidth="1"/>
    <col min="21" max="21" width="10.453125" customWidth="1"/>
    <col min="22" max="22" width="12.453125" customWidth="1"/>
    <col min="23" max="23" width="11.453125" customWidth="1"/>
    <col min="24" max="24" width="12.1796875" customWidth="1"/>
  </cols>
  <sheetData>
    <row r="1" spans="1:32" x14ac:dyDescent="0.35">
      <c r="A1" s="7" t="s">
        <v>221</v>
      </c>
    </row>
    <row r="2" spans="1:32" x14ac:dyDescent="0.35">
      <c r="A2" s="7"/>
    </row>
    <row r="3" spans="1:32" x14ac:dyDescent="0.35">
      <c r="A3" s="206" t="s">
        <v>31</v>
      </c>
      <c r="B3" t="s">
        <v>32</v>
      </c>
    </row>
    <row r="4" spans="1:32" ht="15" thickBot="1" x14ac:dyDescent="0.4">
      <c r="A4" s="7"/>
    </row>
    <row r="5" spans="1:32" x14ac:dyDescent="0.35">
      <c r="A5" s="7"/>
      <c r="B5" s="384" t="s">
        <v>222</v>
      </c>
      <c r="C5" s="385"/>
      <c r="D5" s="386"/>
      <c r="E5" s="399" t="s">
        <v>223</v>
      </c>
      <c r="F5" s="400"/>
      <c r="G5" s="400"/>
      <c r="H5" s="401"/>
      <c r="I5" s="395" t="s">
        <v>224</v>
      </c>
      <c r="J5" s="396"/>
      <c r="K5" s="396"/>
      <c r="L5" s="398"/>
      <c r="M5" s="395" t="s">
        <v>225</v>
      </c>
      <c r="N5" s="396"/>
      <c r="O5" s="396"/>
      <c r="P5" s="397"/>
      <c r="Q5" s="372" t="s">
        <v>226</v>
      </c>
      <c r="R5" s="372"/>
      <c r="S5" s="372"/>
      <c r="T5" s="372"/>
      <c r="U5" s="372"/>
      <c r="V5" s="372"/>
      <c r="W5" s="372"/>
      <c r="X5" s="372"/>
      <c r="Y5" s="373" t="s">
        <v>227</v>
      </c>
      <c r="Z5" s="374"/>
      <c r="AA5" s="374"/>
      <c r="AB5" s="374"/>
      <c r="AC5" s="374"/>
      <c r="AD5" s="374"/>
      <c r="AE5" s="374"/>
      <c r="AF5" s="375"/>
    </row>
    <row r="6" spans="1:32" ht="36" customHeight="1" thickBot="1" x14ac:dyDescent="0.4">
      <c r="B6" s="387"/>
      <c r="C6" s="370"/>
      <c r="D6" s="388"/>
      <c r="E6" s="402"/>
      <c r="F6" s="355"/>
      <c r="G6" s="355"/>
      <c r="H6" s="377"/>
      <c r="I6" s="392" t="s">
        <v>185</v>
      </c>
      <c r="J6" s="393"/>
      <c r="K6" s="403" t="s">
        <v>184</v>
      </c>
      <c r="L6" s="404"/>
      <c r="M6" s="394" t="s">
        <v>185</v>
      </c>
      <c r="N6" s="376"/>
      <c r="O6" s="376" t="s">
        <v>184</v>
      </c>
      <c r="P6" s="389"/>
      <c r="Q6" s="376" t="s">
        <v>228</v>
      </c>
      <c r="R6" s="376"/>
      <c r="S6" s="378" t="s">
        <v>229</v>
      </c>
      <c r="T6" s="376"/>
      <c r="U6" s="370" t="s">
        <v>230</v>
      </c>
      <c r="V6" s="370"/>
      <c r="W6" s="355" t="s">
        <v>231</v>
      </c>
      <c r="X6" s="377"/>
      <c r="Y6" s="378" t="s">
        <v>228</v>
      </c>
      <c r="Z6" s="376"/>
      <c r="AA6" s="376" t="s">
        <v>229</v>
      </c>
      <c r="AB6" s="376"/>
      <c r="AC6" s="370" t="s">
        <v>230</v>
      </c>
      <c r="AD6" s="370"/>
      <c r="AE6" s="355" t="s">
        <v>232</v>
      </c>
      <c r="AF6" s="377"/>
    </row>
    <row r="7" spans="1:32" ht="29" x14ac:dyDescent="0.35">
      <c r="A7" s="51" t="s">
        <v>114</v>
      </c>
      <c r="B7" s="15" t="s">
        <v>115</v>
      </c>
      <c r="C7" s="4" t="s">
        <v>233</v>
      </c>
      <c r="D7" s="17" t="s">
        <v>234</v>
      </c>
      <c r="E7" s="14" t="s">
        <v>185</v>
      </c>
      <c r="F7" s="4" t="s">
        <v>184</v>
      </c>
      <c r="G7" s="4" t="s">
        <v>186</v>
      </c>
      <c r="H7" s="207" t="s">
        <v>171</v>
      </c>
      <c r="I7" s="211" t="s">
        <v>235</v>
      </c>
      <c r="J7" s="155" t="s">
        <v>122</v>
      </c>
      <c r="K7" s="155" t="s">
        <v>235</v>
      </c>
      <c r="L7" s="156" t="s">
        <v>122</v>
      </c>
      <c r="M7" s="208" t="s">
        <v>235</v>
      </c>
      <c r="N7" s="209" t="s">
        <v>122</v>
      </c>
      <c r="O7" s="209" t="s">
        <v>235</v>
      </c>
      <c r="P7" s="210" t="s">
        <v>122</v>
      </c>
      <c r="Q7" s="212" t="s">
        <v>236</v>
      </c>
      <c r="R7" s="212" t="s">
        <v>237</v>
      </c>
      <c r="S7" s="332" t="s">
        <v>236</v>
      </c>
      <c r="T7" s="212" t="s">
        <v>237</v>
      </c>
      <c r="U7" s="209" t="s">
        <v>236</v>
      </c>
      <c r="V7" s="212" t="s">
        <v>237</v>
      </c>
      <c r="W7" s="209" t="s">
        <v>236</v>
      </c>
      <c r="X7" s="338" t="s">
        <v>237</v>
      </c>
      <c r="Y7" s="335" t="s">
        <v>238</v>
      </c>
      <c r="Z7" s="209" t="s">
        <v>239</v>
      </c>
      <c r="AA7" s="209" t="s">
        <v>238</v>
      </c>
      <c r="AB7" s="209" t="s">
        <v>239</v>
      </c>
      <c r="AC7" s="209" t="s">
        <v>238</v>
      </c>
      <c r="AD7" s="209" t="s">
        <v>239</v>
      </c>
      <c r="AE7" s="209" t="s">
        <v>238</v>
      </c>
      <c r="AF7" s="210" t="s">
        <v>239</v>
      </c>
    </row>
    <row r="8" spans="1:32" x14ac:dyDescent="0.35">
      <c r="A8" s="213">
        <v>43555</v>
      </c>
      <c r="B8" s="15">
        <v>470</v>
      </c>
      <c r="C8" s="4">
        <v>58</v>
      </c>
      <c r="D8" s="17">
        <v>42</v>
      </c>
      <c r="E8" s="14">
        <v>57.7</v>
      </c>
      <c r="F8" s="4">
        <v>42.3</v>
      </c>
      <c r="G8" s="173"/>
      <c r="H8" s="214"/>
      <c r="I8" s="215">
        <v>51</v>
      </c>
      <c r="J8" s="184">
        <v>10.8</v>
      </c>
      <c r="K8" s="184">
        <v>26</v>
      </c>
      <c r="L8" s="216">
        <v>5.5</v>
      </c>
      <c r="M8" s="217">
        <v>12</v>
      </c>
      <c r="N8" s="88">
        <v>2.6</v>
      </c>
      <c r="O8" s="88">
        <v>4</v>
      </c>
      <c r="P8" s="89">
        <v>0.9</v>
      </c>
      <c r="Q8" s="88">
        <v>6.2</v>
      </c>
      <c r="R8" s="88">
        <v>51.5</v>
      </c>
      <c r="S8" s="218">
        <v>1.9</v>
      </c>
      <c r="T8" s="88">
        <v>40.4</v>
      </c>
      <c r="U8" s="173"/>
      <c r="V8" s="219"/>
      <c r="W8" s="173"/>
      <c r="X8" s="220"/>
      <c r="Y8" s="218">
        <v>40</v>
      </c>
      <c r="Z8" s="120">
        <v>17.7</v>
      </c>
      <c r="AA8" s="120">
        <v>34.9</v>
      </c>
      <c r="AB8" s="120">
        <v>7.4</v>
      </c>
      <c r="AC8" s="173"/>
      <c r="AD8" s="219"/>
      <c r="AE8" s="173"/>
      <c r="AF8" s="220"/>
    </row>
    <row r="9" spans="1:32" x14ac:dyDescent="0.35">
      <c r="A9" s="213">
        <v>43921</v>
      </c>
      <c r="B9" s="15">
        <v>463</v>
      </c>
      <c r="C9" s="4">
        <v>56</v>
      </c>
      <c r="D9" s="17">
        <v>44</v>
      </c>
      <c r="E9" s="14">
        <v>55.9</v>
      </c>
      <c r="F9" s="4">
        <v>44.1</v>
      </c>
      <c r="G9" s="173"/>
      <c r="H9" s="214"/>
      <c r="I9" s="215">
        <v>56</v>
      </c>
      <c r="J9" s="184">
        <v>12.1</v>
      </c>
      <c r="K9" s="184">
        <v>26</v>
      </c>
      <c r="L9" s="216">
        <v>5.6</v>
      </c>
      <c r="M9" s="217">
        <v>7</v>
      </c>
      <c r="N9" s="88">
        <v>1.5</v>
      </c>
      <c r="O9" s="88">
        <v>3</v>
      </c>
      <c r="P9" s="89">
        <v>0.6</v>
      </c>
      <c r="Q9" s="88">
        <v>4.5</v>
      </c>
      <c r="R9" s="88">
        <v>51.4</v>
      </c>
      <c r="S9" s="218">
        <v>1.9</v>
      </c>
      <c r="T9" s="88">
        <v>42.2</v>
      </c>
      <c r="U9" s="173"/>
      <c r="V9" s="219"/>
      <c r="W9" s="173"/>
      <c r="X9" s="220"/>
      <c r="Y9" s="218">
        <v>40.4</v>
      </c>
      <c r="Z9" s="120">
        <v>15.5</v>
      </c>
      <c r="AA9" s="120">
        <v>34.799999999999997</v>
      </c>
      <c r="AB9" s="120">
        <v>9.3000000000000007</v>
      </c>
      <c r="AC9" s="173"/>
      <c r="AD9" s="219"/>
      <c r="AE9" s="173"/>
      <c r="AF9" s="220"/>
    </row>
    <row r="10" spans="1:32" x14ac:dyDescent="0.35">
      <c r="A10" s="213">
        <v>44286</v>
      </c>
      <c r="B10" s="15">
        <v>466</v>
      </c>
      <c r="C10" s="4">
        <v>56</v>
      </c>
      <c r="D10" s="17">
        <v>44</v>
      </c>
      <c r="E10" s="14">
        <v>56.4</v>
      </c>
      <c r="F10" s="4">
        <v>43.6</v>
      </c>
      <c r="G10" s="173"/>
      <c r="H10" s="214"/>
      <c r="I10" s="215">
        <v>29</v>
      </c>
      <c r="J10" s="184">
        <v>6.2</v>
      </c>
      <c r="K10" s="184">
        <v>24</v>
      </c>
      <c r="L10" s="216">
        <v>5.2</v>
      </c>
      <c r="M10" s="217">
        <v>7</v>
      </c>
      <c r="N10" s="88">
        <v>1.5</v>
      </c>
      <c r="O10" s="88">
        <v>5</v>
      </c>
      <c r="P10" s="89">
        <v>1.1000000000000001</v>
      </c>
      <c r="Q10" s="88">
        <v>3.9</v>
      </c>
      <c r="R10" s="88">
        <v>52.6</v>
      </c>
      <c r="S10" s="218">
        <v>2.4</v>
      </c>
      <c r="T10" s="88">
        <v>41.2</v>
      </c>
      <c r="U10" s="173"/>
      <c r="V10" s="219"/>
      <c r="W10" s="173"/>
      <c r="X10" s="220"/>
      <c r="Y10" s="218">
        <v>38.200000000000003</v>
      </c>
      <c r="Z10" s="120">
        <v>18.2</v>
      </c>
      <c r="AA10" s="120">
        <v>35</v>
      </c>
      <c r="AB10" s="120">
        <v>8.6</v>
      </c>
      <c r="AC10" s="173"/>
      <c r="AD10" s="219"/>
      <c r="AE10" s="173"/>
      <c r="AF10" s="220"/>
    </row>
    <row r="11" spans="1:32" x14ac:dyDescent="0.35">
      <c r="A11" s="213">
        <v>44651</v>
      </c>
      <c r="B11" s="15">
        <v>478</v>
      </c>
      <c r="C11" s="4">
        <v>58</v>
      </c>
      <c r="D11" s="17">
        <v>42</v>
      </c>
      <c r="E11" s="14">
        <v>57.7</v>
      </c>
      <c r="F11" s="4">
        <v>42.3</v>
      </c>
      <c r="G11" s="173"/>
      <c r="H11" s="214"/>
      <c r="I11" s="215">
        <v>46</v>
      </c>
      <c r="J11" s="184">
        <v>9.6</v>
      </c>
      <c r="K11" s="184">
        <v>33</v>
      </c>
      <c r="L11" s="216">
        <v>6.9</v>
      </c>
      <c r="M11" s="217">
        <v>8</v>
      </c>
      <c r="N11" s="88">
        <v>1.7</v>
      </c>
      <c r="O11" s="88">
        <v>8</v>
      </c>
      <c r="P11" s="89">
        <v>1.7</v>
      </c>
      <c r="Q11" s="88">
        <v>5</v>
      </c>
      <c r="R11" s="88">
        <v>52.7</v>
      </c>
      <c r="S11" s="218">
        <v>1.9</v>
      </c>
      <c r="T11" s="88">
        <v>40.4</v>
      </c>
      <c r="U11" s="173"/>
      <c r="V11" s="219"/>
      <c r="W11" s="173"/>
      <c r="X11" s="220"/>
      <c r="Y11" s="218">
        <v>32.200000000000003</v>
      </c>
      <c r="Z11" s="120">
        <v>25.5</v>
      </c>
      <c r="AA11" s="120">
        <v>28.2</v>
      </c>
      <c r="AB11" s="120">
        <v>14</v>
      </c>
      <c r="AC11" s="173"/>
      <c r="AD11" s="219"/>
      <c r="AE11" s="173"/>
      <c r="AF11" s="220"/>
    </row>
    <row r="12" spans="1:32" x14ac:dyDescent="0.35">
      <c r="A12" s="213">
        <v>45016</v>
      </c>
      <c r="B12" s="15">
        <v>484</v>
      </c>
      <c r="C12" s="4">
        <v>58</v>
      </c>
      <c r="D12" s="17">
        <v>42</v>
      </c>
      <c r="E12" s="14">
        <v>57.6</v>
      </c>
      <c r="F12" s="4">
        <v>42.4</v>
      </c>
      <c r="G12" s="173"/>
      <c r="H12" s="214"/>
      <c r="I12" s="215">
        <v>43</v>
      </c>
      <c r="J12" s="184">
        <v>8.8000000000000007</v>
      </c>
      <c r="K12" s="184">
        <v>23</v>
      </c>
      <c r="L12" s="216">
        <v>4.7</v>
      </c>
      <c r="M12" s="217">
        <v>9</v>
      </c>
      <c r="N12" s="88">
        <v>1.8</v>
      </c>
      <c r="O12" s="88">
        <v>5</v>
      </c>
      <c r="P12" s="89">
        <v>1</v>
      </c>
      <c r="Q12" s="88">
        <v>5.8</v>
      </c>
      <c r="R12" s="88">
        <v>51.9</v>
      </c>
      <c r="S12" s="218">
        <v>2.9</v>
      </c>
      <c r="T12" s="88">
        <v>39.5</v>
      </c>
      <c r="U12" s="173"/>
      <c r="V12" s="219"/>
      <c r="W12" s="173"/>
      <c r="X12" s="220"/>
      <c r="Y12" s="218">
        <v>38</v>
      </c>
      <c r="Z12" s="120">
        <v>19.600000000000001</v>
      </c>
      <c r="AA12" s="120">
        <v>33.700000000000003</v>
      </c>
      <c r="AB12" s="120">
        <v>8.6999999999999993</v>
      </c>
      <c r="AC12" s="173"/>
      <c r="AD12" s="219"/>
      <c r="AE12" s="173"/>
      <c r="AF12" s="220"/>
    </row>
    <row r="13" spans="1:32" x14ac:dyDescent="0.35">
      <c r="A13" s="213">
        <v>45382</v>
      </c>
      <c r="B13" s="15">
        <v>483</v>
      </c>
      <c r="C13" s="4">
        <v>58</v>
      </c>
      <c r="D13" s="17">
        <v>42</v>
      </c>
      <c r="E13" s="333">
        <v>56.31</v>
      </c>
      <c r="F13" s="120">
        <v>39.96</v>
      </c>
      <c r="G13" s="120">
        <v>0.83</v>
      </c>
      <c r="H13" s="221">
        <v>2.9</v>
      </c>
      <c r="I13" s="222">
        <v>56</v>
      </c>
      <c r="J13" s="223">
        <v>11.6</v>
      </c>
      <c r="K13" s="182">
        <v>27</v>
      </c>
      <c r="L13" s="224">
        <v>6</v>
      </c>
      <c r="M13" s="15">
        <v>15</v>
      </c>
      <c r="N13" s="4">
        <v>3.1</v>
      </c>
      <c r="O13" s="4">
        <v>4</v>
      </c>
      <c r="P13" s="17">
        <v>0.8</v>
      </c>
      <c r="Q13" s="226">
        <v>5.38</v>
      </c>
      <c r="R13" s="120">
        <v>50.93</v>
      </c>
      <c r="S13" s="225">
        <v>2.2799999999999998</v>
      </c>
      <c r="T13" s="120">
        <v>37.68</v>
      </c>
      <c r="U13" s="120">
        <v>0</v>
      </c>
      <c r="V13" s="154">
        <v>0.83</v>
      </c>
      <c r="W13" s="120">
        <v>0.21</v>
      </c>
      <c r="X13" s="227">
        <v>2.69</v>
      </c>
      <c r="Y13" s="336">
        <v>32.090000000000003</v>
      </c>
      <c r="Z13" s="120">
        <v>24.22</v>
      </c>
      <c r="AA13" s="120">
        <v>26.92</v>
      </c>
      <c r="AB13" s="120">
        <v>13.04</v>
      </c>
      <c r="AC13" s="120">
        <v>0</v>
      </c>
      <c r="AD13" s="154">
        <v>0.83</v>
      </c>
      <c r="AE13" s="120">
        <v>2.2799999999999998</v>
      </c>
      <c r="AF13" s="227">
        <v>0.62</v>
      </c>
    </row>
    <row r="14" spans="1:32" ht="15" thickBot="1" x14ac:dyDescent="0.4">
      <c r="A14" s="228" t="s">
        <v>125</v>
      </c>
      <c r="B14" s="18">
        <v>485</v>
      </c>
      <c r="C14" s="19">
        <v>58</v>
      </c>
      <c r="D14" s="20">
        <v>42</v>
      </c>
      <c r="E14" s="334">
        <v>56.49</v>
      </c>
      <c r="F14" s="229">
        <v>40.619999999999997</v>
      </c>
      <c r="G14" s="229">
        <v>0.41</v>
      </c>
      <c r="H14" s="230">
        <v>2.4700000000000002</v>
      </c>
      <c r="I14" s="231">
        <v>40</v>
      </c>
      <c r="J14" s="232">
        <v>8</v>
      </c>
      <c r="K14" s="233">
        <v>20</v>
      </c>
      <c r="L14" s="234">
        <v>4.0999999999999996</v>
      </c>
      <c r="M14" s="18">
        <v>10</v>
      </c>
      <c r="N14" s="19">
        <v>2.1</v>
      </c>
      <c r="O14" s="19">
        <v>5</v>
      </c>
      <c r="P14" s="20">
        <v>1</v>
      </c>
      <c r="Q14" s="236">
        <v>4.12</v>
      </c>
      <c r="R14" s="229">
        <v>52.37</v>
      </c>
      <c r="S14" s="235">
        <v>1.44</v>
      </c>
      <c r="T14" s="229">
        <v>39.18</v>
      </c>
      <c r="U14" s="229">
        <v>0</v>
      </c>
      <c r="V14" s="237">
        <v>0.41</v>
      </c>
      <c r="W14" s="229">
        <v>0.21</v>
      </c>
      <c r="X14" s="238">
        <v>2.27</v>
      </c>
      <c r="Y14" s="337">
        <v>36.29</v>
      </c>
      <c r="Z14" s="229">
        <v>20.21</v>
      </c>
      <c r="AA14" s="229">
        <v>31.34</v>
      </c>
      <c r="AB14" s="229">
        <v>9.2799999999999994</v>
      </c>
      <c r="AC14" s="229">
        <v>0.41</v>
      </c>
      <c r="AD14" s="237">
        <v>0</v>
      </c>
      <c r="AE14" s="229">
        <v>2.06</v>
      </c>
      <c r="AF14" s="238">
        <v>0.41</v>
      </c>
    </row>
    <row r="15" spans="1:32" x14ac:dyDescent="0.35"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1:32" x14ac:dyDescent="0.35">
      <c r="A16" s="308" t="s">
        <v>240</v>
      </c>
      <c r="C16" s="331">
        <v>0.51419999999999999</v>
      </c>
      <c r="D16" s="331">
        <v>0.48580000000000001</v>
      </c>
    </row>
    <row r="17" spans="1:6" hidden="1" x14ac:dyDescent="0.35">
      <c r="A17" s="1" t="s">
        <v>11</v>
      </c>
      <c r="B17" t="s">
        <v>241</v>
      </c>
    </row>
    <row r="18" spans="1:6" hidden="1" x14ac:dyDescent="0.35">
      <c r="A18" s="6"/>
      <c r="B18" s="239" t="s">
        <v>242</v>
      </c>
      <c r="C18" s="43"/>
      <c r="D18" s="43"/>
    </row>
    <row r="19" spans="1:6" hidden="1" x14ac:dyDescent="0.35">
      <c r="C19" s="43"/>
      <c r="D19" s="43"/>
      <c r="E19" s="43"/>
      <c r="F19" s="43"/>
    </row>
    <row r="20" spans="1:6" hidden="1" x14ac:dyDescent="0.35">
      <c r="A20" s="8" t="s">
        <v>114</v>
      </c>
      <c r="B20" s="116" t="s">
        <v>115</v>
      </c>
    </row>
    <row r="21" spans="1:6" hidden="1" x14ac:dyDescent="0.35">
      <c r="A21" s="3">
        <v>43555</v>
      </c>
      <c r="B21" s="4">
        <v>470</v>
      </c>
    </row>
    <row r="22" spans="1:6" hidden="1" x14ac:dyDescent="0.35">
      <c r="A22" s="3">
        <v>43921</v>
      </c>
      <c r="B22" s="4">
        <v>463</v>
      </c>
    </row>
    <row r="23" spans="1:6" hidden="1" x14ac:dyDescent="0.35">
      <c r="A23" s="3">
        <v>44286</v>
      </c>
      <c r="B23" s="4">
        <v>466</v>
      </c>
    </row>
    <row r="24" spans="1:6" hidden="1" x14ac:dyDescent="0.35">
      <c r="A24" s="3">
        <v>44651</v>
      </c>
      <c r="B24" s="4">
        <v>478</v>
      </c>
    </row>
    <row r="25" spans="1:6" hidden="1" x14ac:dyDescent="0.35">
      <c r="A25" s="3">
        <v>45016</v>
      </c>
      <c r="B25" s="4">
        <v>484</v>
      </c>
    </row>
    <row r="26" spans="1:6" hidden="1" x14ac:dyDescent="0.35">
      <c r="A26" s="3">
        <v>45382</v>
      </c>
      <c r="B26" s="4">
        <v>483</v>
      </c>
    </row>
    <row r="27" spans="1:6" hidden="1" x14ac:dyDescent="0.35">
      <c r="A27" s="3" t="s">
        <v>125</v>
      </c>
      <c r="B27" s="4">
        <v>485</v>
      </c>
    </row>
    <row r="28" spans="1:6" hidden="1" x14ac:dyDescent="0.35">
      <c r="C28" s="43"/>
      <c r="D28" s="43"/>
      <c r="E28" s="43"/>
      <c r="F28" s="43"/>
    </row>
    <row r="29" spans="1:6" hidden="1" x14ac:dyDescent="0.35">
      <c r="C29" s="43"/>
      <c r="D29" s="43"/>
      <c r="E29" s="43"/>
      <c r="F29" s="43"/>
    </row>
    <row r="30" spans="1:6" x14ac:dyDescent="0.35">
      <c r="C30" s="43"/>
      <c r="D30" s="43"/>
      <c r="E30" s="43"/>
      <c r="F30" s="43"/>
    </row>
    <row r="31" spans="1:6" x14ac:dyDescent="0.35">
      <c r="A31" s="1" t="s">
        <v>33</v>
      </c>
      <c r="B31" t="s">
        <v>34</v>
      </c>
    </row>
    <row r="32" spans="1:6" ht="15" hidden="1" customHeight="1" x14ac:dyDescent="0.35"/>
    <row r="34" spans="1:19" ht="14.5" customHeight="1" x14ac:dyDescent="0.35">
      <c r="A34" s="382" t="s">
        <v>243</v>
      </c>
      <c r="B34" s="383" t="s">
        <v>174</v>
      </c>
      <c r="C34" s="383"/>
      <c r="D34" s="383" t="s">
        <v>175</v>
      </c>
      <c r="E34" s="383"/>
      <c r="F34" s="383" t="s">
        <v>176</v>
      </c>
      <c r="G34" s="383"/>
      <c r="H34" s="383" t="s">
        <v>177</v>
      </c>
      <c r="I34" s="383"/>
      <c r="J34" s="383" t="s">
        <v>178</v>
      </c>
      <c r="K34" s="383"/>
      <c r="L34" s="381" t="s">
        <v>179</v>
      </c>
      <c r="M34" s="381"/>
      <c r="N34" s="381"/>
      <c r="O34" s="381"/>
      <c r="P34" s="381" t="s">
        <v>244</v>
      </c>
      <c r="Q34" s="381"/>
      <c r="R34" s="381"/>
      <c r="S34" s="381"/>
    </row>
    <row r="35" spans="1:19" ht="29" x14ac:dyDescent="0.35">
      <c r="A35" s="382"/>
      <c r="B35" s="155" t="s">
        <v>184</v>
      </c>
      <c r="C35" s="155" t="s">
        <v>185</v>
      </c>
      <c r="D35" s="155" t="s">
        <v>184</v>
      </c>
      <c r="E35" s="155" t="s">
        <v>185</v>
      </c>
      <c r="F35" s="155" t="s">
        <v>184</v>
      </c>
      <c r="G35" s="155" t="s">
        <v>185</v>
      </c>
      <c r="H35" s="155" t="s">
        <v>184</v>
      </c>
      <c r="I35" s="155" t="s">
        <v>185</v>
      </c>
      <c r="J35" s="155" t="s">
        <v>184</v>
      </c>
      <c r="K35" s="155" t="s">
        <v>185</v>
      </c>
      <c r="L35" s="155" t="s">
        <v>184</v>
      </c>
      <c r="M35" s="155" t="s">
        <v>185</v>
      </c>
      <c r="N35" s="117" t="s">
        <v>186</v>
      </c>
      <c r="O35" s="118" t="s">
        <v>171</v>
      </c>
      <c r="P35" s="155" t="s">
        <v>184</v>
      </c>
      <c r="Q35" s="155" t="s">
        <v>185</v>
      </c>
      <c r="R35" s="117" t="s">
        <v>186</v>
      </c>
      <c r="S35" s="119" t="s">
        <v>171</v>
      </c>
    </row>
    <row r="36" spans="1:19" ht="15" customHeight="1" x14ac:dyDescent="0.35">
      <c r="A36" s="155" t="s">
        <v>131</v>
      </c>
      <c r="B36" s="184">
        <v>0.2</v>
      </c>
      <c r="C36" s="184">
        <v>0</v>
      </c>
      <c r="D36" s="184">
        <v>0.2</v>
      </c>
      <c r="E36" s="184">
        <v>0</v>
      </c>
      <c r="F36" s="184">
        <v>0.2</v>
      </c>
      <c r="G36" s="184">
        <v>0</v>
      </c>
      <c r="H36" s="184">
        <v>0.2</v>
      </c>
      <c r="I36" s="184">
        <v>0</v>
      </c>
      <c r="J36" s="184">
        <v>0.2</v>
      </c>
      <c r="K36" s="184">
        <v>0</v>
      </c>
      <c r="L36" s="343">
        <v>2.070393374741201E-3</v>
      </c>
      <c r="M36" s="344">
        <v>0</v>
      </c>
      <c r="N36" s="344">
        <v>0</v>
      </c>
      <c r="O36" s="344">
        <v>0</v>
      </c>
      <c r="P36" s="240">
        <v>2.0618556701030928E-3</v>
      </c>
      <c r="Q36" s="240">
        <v>0</v>
      </c>
      <c r="R36" s="240">
        <v>0</v>
      </c>
      <c r="S36" s="240">
        <v>0</v>
      </c>
    </row>
    <row r="37" spans="1:19" x14ac:dyDescent="0.35">
      <c r="A37" s="155" t="s">
        <v>130</v>
      </c>
      <c r="B37" s="184">
        <v>0.2</v>
      </c>
      <c r="C37" s="184">
        <v>0.6</v>
      </c>
      <c r="D37" s="184">
        <v>0.4</v>
      </c>
      <c r="E37" s="184">
        <v>0.4</v>
      </c>
      <c r="F37" s="184">
        <v>0.6</v>
      </c>
      <c r="G37" s="184">
        <v>0.6</v>
      </c>
      <c r="H37" s="184">
        <v>0.4</v>
      </c>
      <c r="I37" s="184">
        <v>0.6</v>
      </c>
      <c r="J37" s="184">
        <v>0.4</v>
      </c>
      <c r="K37" s="184">
        <v>0.6</v>
      </c>
      <c r="L37" s="343">
        <v>4.140786749482402E-3</v>
      </c>
      <c r="M37" s="346">
        <v>4.140786749482402E-3</v>
      </c>
      <c r="N37" s="346">
        <v>0</v>
      </c>
      <c r="O37" s="346">
        <v>0</v>
      </c>
      <c r="P37" s="240">
        <v>4.1237113402061857E-3</v>
      </c>
      <c r="Q37" s="240">
        <v>4.1237113402061857E-3</v>
      </c>
      <c r="R37" s="240">
        <v>0</v>
      </c>
      <c r="S37" s="240">
        <v>0</v>
      </c>
    </row>
    <row r="38" spans="1:19" ht="15" customHeight="1" x14ac:dyDescent="0.35">
      <c r="A38" s="155" t="s">
        <v>129</v>
      </c>
      <c r="B38" s="184">
        <v>1.3</v>
      </c>
      <c r="C38" s="184">
        <v>0.2</v>
      </c>
      <c r="D38" s="184">
        <v>1.1000000000000001</v>
      </c>
      <c r="E38" s="184">
        <v>0.2</v>
      </c>
      <c r="F38" s="184">
        <v>0.9</v>
      </c>
      <c r="G38" s="184">
        <v>0.2</v>
      </c>
      <c r="H38" s="184">
        <v>0.8</v>
      </c>
      <c r="I38" s="184">
        <v>0.4</v>
      </c>
      <c r="J38" s="184">
        <v>0.8</v>
      </c>
      <c r="K38" s="184">
        <v>0.2</v>
      </c>
      <c r="L38" s="343">
        <v>6.2111801242236021E-3</v>
      </c>
      <c r="M38" s="346">
        <v>4.140786749482402E-3</v>
      </c>
      <c r="N38" s="346">
        <v>0</v>
      </c>
      <c r="O38" s="346">
        <v>0</v>
      </c>
      <c r="P38" s="240">
        <v>6.1855670103092781E-3</v>
      </c>
      <c r="Q38" s="240">
        <v>6.1855670103092781E-3</v>
      </c>
      <c r="R38" s="240">
        <v>0</v>
      </c>
      <c r="S38" s="240">
        <v>0</v>
      </c>
    </row>
    <row r="39" spans="1:19" x14ac:dyDescent="0.35">
      <c r="A39" s="155" t="s">
        <v>128</v>
      </c>
      <c r="B39" s="184">
        <v>0.6</v>
      </c>
      <c r="C39" s="184">
        <v>1.3</v>
      </c>
      <c r="D39" s="184">
        <v>0.6</v>
      </c>
      <c r="E39" s="184">
        <v>1.3</v>
      </c>
      <c r="F39" s="184">
        <v>0.4</v>
      </c>
      <c r="G39" s="184">
        <v>1.5</v>
      </c>
      <c r="H39" s="184">
        <v>0.6</v>
      </c>
      <c r="I39" s="184">
        <v>1.3</v>
      </c>
      <c r="J39" s="184">
        <v>0.6</v>
      </c>
      <c r="K39" s="184">
        <v>1.4</v>
      </c>
      <c r="L39" s="343">
        <v>4.140786749482402E-3</v>
      </c>
      <c r="M39" s="346">
        <v>1.4492753623188406E-2</v>
      </c>
      <c r="N39" s="346">
        <v>0</v>
      </c>
      <c r="O39" s="346">
        <v>2.070393374741201E-3</v>
      </c>
      <c r="P39" s="240">
        <v>4.1237113402061857E-3</v>
      </c>
      <c r="Q39" s="240">
        <v>1.0309278350515464E-2</v>
      </c>
      <c r="R39" s="240">
        <v>0</v>
      </c>
      <c r="S39" s="240">
        <v>2.0618556701030928E-3</v>
      </c>
    </row>
    <row r="40" spans="1:19" ht="15" customHeight="1" x14ac:dyDescent="0.35">
      <c r="A40" s="155">
        <v>1</v>
      </c>
      <c r="B40" s="184">
        <v>1.1000000000000001</v>
      </c>
      <c r="C40" s="184">
        <v>0.6</v>
      </c>
      <c r="D40" s="184">
        <v>1.1000000000000001</v>
      </c>
      <c r="E40" s="184">
        <v>0.2</v>
      </c>
      <c r="F40" s="184">
        <v>1.3</v>
      </c>
      <c r="G40" s="184">
        <v>0.4</v>
      </c>
      <c r="H40" s="184">
        <v>1.3</v>
      </c>
      <c r="I40" s="184">
        <v>0.4</v>
      </c>
      <c r="J40" s="184">
        <v>1</v>
      </c>
      <c r="K40" s="184">
        <v>0.6</v>
      </c>
      <c r="L40" s="343">
        <v>1.2422360248447204E-2</v>
      </c>
      <c r="M40" s="346">
        <v>4.140786749482402E-3</v>
      </c>
      <c r="N40" s="346">
        <v>0</v>
      </c>
      <c r="O40" s="346">
        <v>2.070393374741201E-3</v>
      </c>
      <c r="P40" s="240">
        <v>1.2371134020618556E-2</v>
      </c>
      <c r="Q40" s="240">
        <v>8.2474226804123713E-3</v>
      </c>
      <c r="R40" s="240">
        <v>0</v>
      </c>
      <c r="S40" s="240">
        <v>2.0618556701030928E-3</v>
      </c>
    </row>
    <row r="41" spans="1:19" x14ac:dyDescent="0.35">
      <c r="A41" s="155">
        <v>2</v>
      </c>
      <c r="B41" s="184">
        <v>1.9</v>
      </c>
      <c r="C41" s="184">
        <v>3.4</v>
      </c>
      <c r="D41" s="184">
        <v>1.7</v>
      </c>
      <c r="E41" s="184">
        <v>3.5</v>
      </c>
      <c r="F41" s="184">
        <v>1.5</v>
      </c>
      <c r="G41" s="184">
        <v>3</v>
      </c>
      <c r="H41" s="184">
        <v>1</v>
      </c>
      <c r="I41" s="184">
        <v>3.1</v>
      </c>
      <c r="J41" s="184">
        <v>0.8</v>
      </c>
      <c r="K41" s="184">
        <v>2.9</v>
      </c>
      <c r="L41" s="343">
        <v>8.2815734989648039E-3</v>
      </c>
      <c r="M41" s="346">
        <v>2.6915113871635612E-2</v>
      </c>
      <c r="N41" s="346">
        <v>0</v>
      </c>
      <c r="O41" s="346">
        <v>2.070393374741201E-3</v>
      </c>
      <c r="P41" s="240">
        <v>6.1855670103092781E-3</v>
      </c>
      <c r="Q41" s="240">
        <v>2.88659793814433E-2</v>
      </c>
      <c r="R41" s="240">
        <v>0</v>
      </c>
      <c r="S41" s="240">
        <v>2.0618556701030928E-3</v>
      </c>
    </row>
    <row r="42" spans="1:19" ht="15" customHeight="1" x14ac:dyDescent="0.35">
      <c r="A42" s="155">
        <v>3</v>
      </c>
      <c r="B42" s="184">
        <v>2.2999999999999998</v>
      </c>
      <c r="C42" s="184">
        <v>6.2</v>
      </c>
      <c r="D42" s="184">
        <v>2.6</v>
      </c>
      <c r="E42" s="184">
        <v>6.7</v>
      </c>
      <c r="F42" s="184">
        <v>2.8</v>
      </c>
      <c r="G42" s="184">
        <v>6.4</v>
      </c>
      <c r="H42" s="184">
        <v>3.1</v>
      </c>
      <c r="I42" s="184">
        <v>6.5</v>
      </c>
      <c r="J42" s="184">
        <v>3.1</v>
      </c>
      <c r="K42" s="184">
        <v>6.4</v>
      </c>
      <c r="L42" s="343">
        <v>2.8985507246376812E-2</v>
      </c>
      <c r="M42" s="346">
        <v>6.2111801242236024E-2</v>
      </c>
      <c r="N42" s="346">
        <v>0</v>
      </c>
      <c r="O42" s="346">
        <v>0</v>
      </c>
      <c r="P42" s="240">
        <v>3.0927835051546393E-2</v>
      </c>
      <c r="Q42" s="240">
        <v>5.7731958762886601E-2</v>
      </c>
      <c r="R42" s="240">
        <v>0</v>
      </c>
      <c r="S42" s="240">
        <v>0</v>
      </c>
    </row>
    <row r="43" spans="1:19" x14ac:dyDescent="0.35">
      <c r="A43" s="155">
        <v>4</v>
      </c>
      <c r="B43" s="184">
        <v>4.7</v>
      </c>
      <c r="C43" s="184">
        <v>10.9</v>
      </c>
      <c r="D43" s="184">
        <v>4.8</v>
      </c>
      <c r="E43" s="184">
        <v>11.7</v>
      </c>
      <c r="F43" s="184">
        <v>4.7</v>
      </c>
      <c r="G43" s="184">
        <v>10.1</v>
      </c>
      <c r="H43" s="184">
        <v>5</v>
      </c>
      <c r="I43" s="184">
        <v>10.3</v>
      </c>
      <c r="J43" s="184">
        <v>5</v>
      </c>
      <c r="K43" s="184">
        <v>10.3</v>
      </c>
      <c r="L43" s="343">
        <v>4.7619047619047616E-2</v>
      </c>
      <c r="M43" s="346">
        <v>0.12215320910973085</v>
      </c>
      <c r="N43" s="346">
        <v>0</v>
      </c>
      <c r="O43" s="346">
        <v>4.140786749482402E-3</v>
      </c>
      <c r="P43" s="240">
        <v>4.3298969072164947E-2</v>
      </c>
      <c r="Q43" s="240">
        <v>0.1154639175257732</v>
      </c>
      <c r="R43" s="240">
        <v>0</v>
      </c>
      <c r="S43" s="240">
        <v>4.1237113402061857E-3</v>
      </c>
    </row>
    <row r="44" spans="1:19" x14ac:dyDescent="0.35">
      <c r="A44" s="155">
        <v>5</v>
      </c>
      <c r="B44" s="184">
        <v>3.4</v>
      </c>
      <c r="C44" s="184">
        <v>8.6999999999999993</v>
      </c>
      <c r="D44" s="184">
        <v>3.7</v>
      </c>
      <c r="E44" s="184">
        <v>7.1</v>
      </c>
      <c r="F44" s="184">
        <v>4.3</v>
      </c>
      <c r="G44" s="184">
        <v>7.7</v>
      </c>
      <c r="H44" s="184">
        <v>3.8</v>
      </c>
      <c r="I44" s="184">
        <v>7.9</v>
      </c>
      <c r="J44" s="184">
        <v>5</v>
      </c>
      <c r="K44" s="184">
        <v>8.3000000000000007</v>
      </c>
      <c r="L44" s="343">
        <v>4.3478260869565216E-2</v>
      </c>
      <c r="M44" s="346">
        <v>7.0393374741200831E-2</v>
      </c>
      <c r="N44" s="346">
        <v>0</v>
      </c>
      <c r="O44" s="346">
        <v>4.140786749482402E-3</v>
      </c>
      <c r="P44" s="240">
        <v>3.9175257731958762E-2</v>
      </c>
      <c r="Q44" s="240">
        <v>7.0103092783505155E-2</v>
      </c>
      <c r="R44" s="240">
        <v>0</v>
      </c>
      <c r="S44" s="240">
        <v>4.1237113402061857E-3</v>
      </c>
    </row>
    <row r="45" spans="1:19" x14ac:dyDescent="0.35">
      <c r="A45" s="155">
        <v>6</v>
      </c>
      <c r="B45" s="184">
        <v>4.9000000000000004</v>
      </c>
      <c r="C45" s="184">
        <v>10.6</v>
      </c>
      <c r="D45" s="184">
        <v>5.6</v>
      </c>
      <c r="E45" s="184">
        <v>10.6</v>
      </c>
      <c r="F45" s="184">
        <v>5.4</v>
      </c>
      <c r="G45" s="184">
        <v>10.5</v>
      </c>
      <c r="H45" s="184">
        <v>5</v>
      </c>
      <c r="I45" s="184">
        <v>10.3</v>
      </c>
      <c r="J45" s="184">
        <v>5</v>
      </c>
      <c r="K45" s="184">
        <v>10.5</v>
      </c>
      <c r="L45" s="343">
        <v>4.3478260869565216E-2</v>
      </c>
      <c r="M45" s="346">
        <v>8.6956521739130432E-2</v>
      </c>
      <c r="N45" s="346">
        <v>2.070393374741201E-3</v>
      </c>
      <c r="O45" s="346">
        <v>8.2815734989648039E-3</v>
      </c>
      <c r="P45" s="240">
        <v>4.7422680412371132E-2</v>
      </c>
      <c r="Q45" s="240">
        <v>9.6907216494845363E-2</v>
      </c>
      <c r="R45" s="240">
        <v>2.0618556701030928E-3</v>
      </c>
      <c r="S45" s="240">
        <v>6.1855670103092781E-3</v>
      </c>
    </row>
    <row r="46" spans="1:19" ht="15" customHeight="1" x14ac:dyDescent="0.35">
      <c r="A46" s="155">
        <v>7</v>
      </c>
      <c r="B46" s="184">
        <v>19.399999999999999</v>
      </c>
      <c r="C46" s="184">
        <v>10.9</v>
      </c>
      <c r="D46" s="184">
        <v>19.399999999999999</v>
      </c>
      <c r="E46" s="184">
        <v>10.6</v>
      </c>
      <c r="F46" s="184">
        <v>18.7</v>
      </c>
      <c r="G46" s="184">
        <v>11.2</v>
      </c>
      <c r="H46" s="184">
        <v>17.600000000000001</v>
      </c>
      <c r="I46" s="184">
        <v>11.7</v>
      </c>
      <c r="J46" s="184">
        <v>17.600000000000001</v>
      </c>
      <c r="K46" s="184">
        <v>12</v>
      </c>
      <c r="L46" s="343">
        <v>0.15734989648033126</v>
      </c>
      <c r="M46" s="346">
        <v>0.12215320910973085</v>
      </c>
      <c r="N46" s="346">
        <v>4.140786749482402E-3</v>
      </c>
      <c r="O46" s="346">
        <v>6.2111801242236021E-3</v>
      </c>
      <c r="P46" s="240">
        <v>0.16907216494845362</v>
      </c>
      <c r="Q46" s="240">
        <v>0.12371134020618557</v>
      </c>
      <c r="R46" s="240">
        <v>0</v>
      </c>
      <c r="S46" s="240">
        <v>4.1237113402061857E-3</v>
      </c>
    </row>
    <row r="47" spans="1:19" x14ac:dyDescent="0.35">
      <c r="A47" s="155">
        <v>8</v>
      </c>
      <c r="B47" s="184">
        <v>2.2999999999999998</v>
      </c>
      <c r="C47" s="184">
        <v>4.3</v>
      </c>
      <c r="D47" s="184">
        <v>2.8</v>
      </c>
      <c r="E47" s="184">
        <v>3.7</v>
      </c>
      <c r="F47" s="184">
        <v>2.8</v>
      </c>
      <c r="G47" s="184">
        <v>4.7</v>
      </c>
      <c r="H47" s="184">
        <v>3.3</v>
      </c>
      <c r="I47" s="184">
        <v>5.2</v>
      </c>
      <c r="J47" s="184">
        <v>2.9</v>
      </c>
      <c r="K47" s="184">
        <v>4.3</v>
      </c>
      <c r="L47" s="343">
        <v>4.1407867494824016E-2</v>
      </c>
      <c r="M47" s="346">
        <v>4.5548654244306416E-2</v>
      </c>
      <c r="N47" s="346">
        <v>2.070393374741201E-3</v>
      </c>
      <c r="O47" s="346">
        <v>0</v>
      </c>
      <c r="P47" s="240">
        <v>4.1237113402061855E-2</v>
      </c>
      <c r="Q47" s="240">
        <v>4.3298969072164947E-2</v>
      </c>
      <c r="R47" s="240">
        <v>2.0618556701030928E-3</v>
      </c>
      <c r="S47" s="240">
        <v>0</v>
      </c>
    </row>
    <row r="48" spans="1:19" x14ac:dyDescent="0.35">
      <c r="A48" s="155" t="s">
        <v>158</v>
      </c>
      <c r="B48" s="184">
        <v>42.3</v>
      </c>
      <c r="C48" s="184">
        <v>57.7</v>
      </c>
      <c r="D48" s="184">
        <v>44.1</v>
      </c>
      <c r="E48" s="184">
        <v>55.9</v>
      </c>
      <c r="F48" s="184">
        <v>43.6</v>
      </c>
      <c r="G48" s="184">
        <v>56.4</v>
      </c>
      <c r="H48" s="184">
        <v>42.3</v>
      </c>
      <c r="I48" s="184">
        <v>57.7</v>
      </c>
      <c r="J48" s="184">
        <v>42.4</v>
      </c>
      <c r="K48" s="184">
        <v>57.6</v>
      </c>
      <c r="L48" s="345">
        <v>0.39958592132505177</v>
      </c>
      <c r="M48" s="346">
        <v>0.56314699792960665</v>
      </c>
      <c r="N48" s="346">
        <v>8.2815734989648039E-3</v>
      </c>
      <c r="O48" s="346">
        <v>2.8985507246376812E-2</v>
      </c>
      <c r="P48" s="240">
        <v>0.40618556701030928</v>
      </c>
      <c r="Q48" s="240">
        <v>0.56494845360824741</v>
      </c>
      <c r="R48" s="240">
        <v>4.1237113402061857E-3</v>
      </c>
      <c r="S48" s="240">
        <v>2.4742268041237112E-2</v>
      </c>
    </row>
    <row r="49" spans="1:14" x14ac:dyDescent="0.35">
      <c r="C49" s="43"/>
      <c r="D49" s="43"/>
      <c r="E49" s="43"/>
      <c r="F49" s="43"/>
    </row>
    <row r="50" spans="1:14" x14ac:dyDescent="0.35">
      <c r="A50" s="43" t="s">
        <v>35</v>
      </c>
      <c r="B50" t="s">
        <v>36</v>
      </c>
      <c r="C50" s="43"/>
      <c r="D50" s="43"/>
      <c r="E50" s="43"/>
      <c r="F50" s="43"/>
    </row>
    <row r="51" spans="1:14" ht="15" thickBot="1" x14ac:dyDescent="0.4">
      <c r="A51" s="241"/>
    </row>
    <row r="52" spans="1:14" x14ac:dyDescent="0.35">
      <c r="C52" s="353" t="s">
        <v>195</v>
      </c>
      <c r="D52" s="353"/>
      <c r="E52" s="353"/>
      <c r="F52" s="353"/>
      <c r="G52" s="353" t="s">
        <v>138</v>
      </c>
      <c r="H52" s="353"/>
      <c r="I52" s="353"/>
      <c r="J52" s="353"/>
      <c r="K52" s="353" t="s">
        <v>245</v>
      </c>
      <c r="L52" s="353"/>
      <c r="M52" s="353"/>
      <c r="N52" s="353"/>
    </row>
    <row r="53" spans="1:14" ht="58" x14ac:dyDescent="0.35">
      <c r="A53" s="3" t="s">
        <v>114</v>
      </c>
      <c r="B53" s="140" t="s">
        <v>137</v>
      </c>
      <c r="C53" s="4" t="s">
        <v>184</v>
      </c>
      <c r="D53" s="4" t="s">
        <v>185</v>
      </c>
      <c r="E53" s="4" t="s">
        <v>186</v>
      </c>
      <c r="F53" s="121" t="s">
        <v>246</v>
      </c>
      <c r="G53" s="4" t="s">
        <v>184</v>
      </c>
      <c r="H53" s="4" t="s">
        <v>185</v>
      </c>
      <c r="I53" s="4" t="s">
        <v>186</v>
      </c>
      <c r="J53" s="121" t="s">
        <v>246</v>
      </c>
      <c r="K53" s="4" t="s">
        <v>184</v>
      </c>
      <c r="L53" s="4" t="s">
        <v>185</v>
      </c>
      <c r="M53" s="4" t="s">
        <v>186</v>
      </c>
      <c r="N53" s="121" t="s">
        <v>246</v>
      </c>
    </row>
    <row r="54" spans="1:14" x14ac:dyDescent="0.35">
      <c r="A54" s="3">
        <v>44286</v>
      </c>
      <c r="B54" s="14">
        <f>1544+885</f>
        <v>2429</v>
      </c>
      <c r="C54" s="4">
        <v>885</v>
      </c>
      <c r="D54" s="4">
        <v>1544</v>
      </c>
      <c r="E54" s="4">
        <v>0</v>
      </c>
      <c r="F54" s="4">
        <v>0</v>
      </c>
      <c r="G54" s="4">
        <v>64</v>
      </c>
      <c r="H54" s="4">
        <v>92</v>
      </c>
      <c r="I54" s="13">
        <v>0</v>
      </c>
      <c r="J54" s="13">
        <v>0</v>
      </c>
      <c r="K54" s="4">
        <v>12</v>
      </c>
      <c r="L54" s="4">
        <v>19</v>
      </c>
      <c r="M54" s="13">
        <v>0</v>
      </c>
      <c r="N54" s="13">
        <v>0</v>
      </c>
    </row>
    <row r="55" spans="1:14" x14ac:dyDescent="0.35">
      <c r="A55" s="3">
        <v>44651</v>
      </c>
      <c r="B55" s="14">
        <f>321+547+5+79</f>
        <v>952</v>
      </c>
      <c r="C55" s="4">
        <v>321</v>
      </c>
      <c r="D55" s="4">
        <v>547</v>
      </c>
      <c r="E55" s="4">
        <v>5</v>
      </c>
      <c r="F55" s="4">
        <v>79</v>
      </c>
      <c r="G55" s="4">
        <v>61</v>
      </c>
      <c r="H55" s="4">
        <v>98</v>
      </c>
      <c r="I55" s="13">
        <v>0</v>
      </c>
      <c r="J55" s="4">
        <v>37</v>
      </c>
      <c r="K55" s="4">
        <v>19</v>
      </c>
      <c r="L55" s="4">
        <v>30</v>
      </c>
      <c r="M55" s="4">
        <v>0</v>
      </c>
      <c r="N55" s="4">
        <v>10</v>
      </c>
    </row>
    <row r="56" spans="1:14" x14ac:dyDescent="0.35">
      <c r="A56" s="3">
        <v>45016</v>
      </c>
      <c r="B56" s="14">
        <f>533+925+10+15</f>
        <v>1483</v>
      </c>
      <c r="C56" s="4">
        <v>533</v>
      </c>
      <c r="D56" s="4">
        <v>925</v>
      </c>
      <c r="E56" s="4">
        <v>10</v>
      </c>
      <c r="F56" s="4">
        <v>15</v>
      </c>
      <c r="G56" s="4">
        <v>113</v>
      </c>
      <c r="H56" s="4">
        <v>170</v>
      </c>
      <c r="I56" s="4">
        <v>3</v>
      </c>
      <c r="J56" s="4">
        <v>4</v>
      </c>
      <c r="K56" s="4">
        <v>30</v>
      </c>
      <c r="L56" s="4">
        <v>46</v>
      </c>
      <c r="M56" s="13">
        <v>0</v>
      </c>
      <c r="N56" s="4">
        <v>1</v>
      </c>
    </row>
    <row r="57" spans="1:14" x14ac:dyDescent="0.35">
      <c r="A57" s="3">
        <v>45382</v>
      </c>
      <c r="B57" s="14">
        <v>2670</v>
      </c>
      <c r="C57" s="4">
        <v>1087</v>
      </c>
      <c r="D57" s="4">
        <v>1478</v>
      </c>
      <c r="E57" s="4">
        <v>49</v>
      </c>
      <c r="F57" s="4">
        <v>56</v>
      </c>
      <c r="G57" s="4">
        <v>171</v>
      </c>
      <c r="H57" s="4">
        <v>256</v>
      </c>
      <c r="I57" s="4">
        <v>9</v>
      </c>
      <c r="J57" s="4">
        <v>22</v>
      </c>
      <c r="K57" s="4">
        <v>13</v>
      </c>
      <c r="L57" s="4">
        <v>41</v>
      </c>
      <c r="M57" s="4">
        <v>1</v>
      </c>
      <c r="N57" s="4">
        <v>6</v>
      </c>
    </row>
    <row r="58" spans="1:14" x14ac:dyDescent="0.35">
      <c r="A58" s="3" t="s">
        <v>125</v>
      </c>
      <c r="B58" s="14">
        <v>4999</v>
      </c>
      <c r="C58" s="4">
        <v>1748</v>
      </c>
      <c r="D58" s="4">
        <v>3080</v>
      </c>
      <c r="E58" s="4">
        <v>92</v>
      </c>
      <c r="F58" s="4">
        <v>79</v>
      </c>
      <c r="G58" s="4">
        <v>255</v>
      </c>
      <c r="H58" s="4">
        <v>512</v>
      </c>
      <c r="I58" s="4">
        <v>10</v>
      </c>
      <c r="J58" s="4">
        <v>12</v>
      </c>
      <c r="K58" s="4">
        <v>41</v>
      </c>
      <c r="L58" s="4">
        <v>42</v>
      </c>
      <c r="M58" s="13">
        <v>0</v>
      </c>
      <c r="N58" s="4">
        <v>0</v>
      </c>
    </row>
    <row r="60" spans="1:14" x14ac:dyDescent="0.35">
      <c r="A60" s="43" t="s">
        <v>37</v>
      </c>
      <c r="B60" t="s">
        <v>38</v>
      </c>
    </row>
    <row r="62" spans="1:14" ht="43.5" x14ac:dyDescent="0.35">
      <c r="A62" s="380" t="s">
        <v>247</v>
      </c>
      <c r="B62" s="379" t="s">
        <v>248</v>
      </c>
      <c r="C62" s="380" t="s">
        <v>184</v>
      </c>
      <c r="D62" s="380"/>
      <c r="E62" s="380" t="s">
        <v>185</v>
      </c>
      <c r="F62" s="380"/>
      <c r="G62" s="390" t="s">
        <v>186</v>
      </c>
      <c r="H62" s="390"/>
      <c r="I62" s="391" t="s">
        <v>171</v>
      </c>
      <c r="J62" s="391"/>
      <c r="K62" s="192" t="s">
        <v>249</v>
      </c>
      <c r="L62" s="192" t="s">
        <v>250</v>
      </c>
    </row>
    <row r="63" spans="1:14" x14ac:dyDescent="0.35">
      <c r="A63" s="380"/>
      <c r="B63" s="379"/>
      <c r="C63" s="192" t="s">
        <v>121</v>
      </c>
      <c r="D63" s="192" t="s">
        <v>122</v>
      </c>
      <c r="E63" s="192" t="s">
        <v>121</v>
      </c>
      <c r="F63" s="192" t="s">
        <v>122</v>
      </c>
      <c r="G63" s="192" t="s">
        <v>121</v>
      </c>
      <c r="H63" s="192" t="s">
        <v>122</v>
      </c>
      <c r="I63" s="192" t="s">
        <v>121</v>
      </c>
      <c r="J63" s="192" t="s">
        <v>122</v>
      </c>
      <c r="K63" s="192" t="s">
        <v>235</v>
      </c>
      <c r="L63" s="192" t="s">
        <v>122</v>
      </c>
    </row>
    <row r="64" spans="1:14" x14ac:dyDescent="0.35">
      <c r="A64" s="3">
        <v>43921</v>
      </c>
      <c r="B64" s="184">
        <v>463</v>
      </c>
      <c r="C64" s="184">
        <v>139</v>
      </c>
      <c r="D64" s="184">
        <v>30</v>
      </c>
      <c r="E64" s="184">
        <v>206</v>
      </c>
      <c r="F64" s="184">
        <v>44.5</v>
      </c>
      <c r="G64" s="127"/>
      <c r="H64" s="127"/>
      <c r="I64" s="127"/>
      <c r="J64" s="127"/>
      <c r="K64" s="184">
        <v>345</v>
      </c>
      <c r="L64" s="184">
        <v>74.5</v>
      </c>
    </row>
    <row r="65" spans="1:12" x14ac:dyDescent="0.35">
      <c r="A65" s="3">
        <v>44286</v>
      </c>
      <c r="B65" s="184">
        <v>466</v>
      </c>
      <c r="C65" s="184">
        <v>123</v>
      </c>
      <c r="D65" s="184">
        <v>26.4</v>
      </c>
      <c r="E65" s="184">
        <v>185</v>
      </c>
      <c r="F65" s="184">
        <v>39.700000000000003</v>
      </c>
      <c r="G65" s="127"/>
      <c r="H65" s="127"/>
      <c r="I65" s="127"/>
      <c r="J65" s="127"/>
      <c r="K65" s="184">
        <v>308</v>
      </c>
      <c r="L65" s="184">
        <v>66.900000000000006</v>
      </c>
    </row>
    <row r="66" spans="1:12" x14ac:dyDescent="0.35">
      <c r="A66" s="3">
        <v>44651</v>
      </c>
      <c r="B66" s="184">
        <v>478</v>
      </c>
      <c r="C66" s="184">
        <v>106</v>
      </c>
      <c r="D66" s="184">
        <v>22.2</v>
      </c>
      <c r="E66" s="184">
        <v>148</v>
      </c>
      <c r="F66" s="184">
        <v>30.9</v>
      </c>
      <c r="G66" s="127"/>
      <c r="H66" s="127"/>
      <c r="I66" s="127"/>
      <c r="J66" s="127"/>
      <c r="K66" s="184">
        <v>254</v>
      </c>
      <c r="L66" s="184">
        <v>53.1</v>
      </c>
    </row>
    <row r="67" spans="1:12" x14ac:dyDescent="0.35">
      <c r="A67" s="3">
        <v>45016</v>
      </c>
      <c r="B67" s="184">
        <v>484</v>
      </c>
      <c r="C67" s="184">
        <v>112</v>
      </c>
      <c r="D67" s="184">
        <v>23.1</v>
      </c>
      <c r="E67" s="184">
        <v>188</v>
      </c>
      <c r="F67" s="184">
        <v>38.799999999999997</v>
      </c>
      <c r="G67" s="127"/>
      <c r="H67" s="127"/>
      <c r="I67" s="127"/>
      <c r="J67" s="127"/>
      <c r="K67" s="184">
        <v>300</v>
      </c>
      <c r="L67" s="184">
        <v>61.9</v>
      </c>
    </row>
    <row r="68" spans="1:12" x14ac:dyDescent="0.35">
      <c r="A68" s="3">
        <v>45382</v>
      </c>
      <c r="B68" s="4">
        <v>483</v>
      </c>
      <c r="C68" s="4">
        <v>116</v>
      </c>
      <c r="D68" s="4">
        <v>33.700000000000003</v>
      </c>
      <c r="E68" s="4">
        <v>261</v>
      </c>
      <c r="F68" s="4">
        <v>54</v>
      </c>
      <c r="G68" s="4">
        <v>3</v>
      </c>
      <c r="H68" s="4">
        <v>0.6</v>
      </c>
      <c r="I68" s="4">
        <v>12</v>
      </c>
      <c r="J68" s="4">
        <v>2.5</v>
      </c>
      <c r="K68" s="4">
        <v>439</v>
      </c>
      <c r="L68" s="4">
        <v>90.9</v>
      </c>
    </row>
    <row r="69" spans="1:12" x14ac:dyDescent="0.35">
      <c r="A69" s="3" t="s">
        <v>125</v>
      </c>
      <c r="B69" s="4">
        <v>485</v>
      </c>
      <c r="C69" s="4">
        <v>97</v>
      </c>
      <c r="D69" s="4">
        <v>20</v>
      </c>
      <c r="E69" s="4">
        <v>172</v>
      </c>
      <c r="F69" s="4">
        <v>35.5</v>
      </c>
      <c r="G69" s="4">
        <v>1</v>
      </c>
      <c r="H69" s="4">
        <v>0.2</v>
      </c>
      <c r="I69" s="4">
        <v>5</v>
      </c>
      <c r="J69" s="4">
        <v>1</v>
      </c>
      <c r="K69" s="4">
        <v>275</v>
      </c>
      <c r="L69" s="4">
        <v>56.7</v>
      </c>
    </row>
    <row r="71" spans="1:12" x14ac:dyDescent="0.35">
      <c r="A71" s="43" t="s">
        <v>39</v>
      </c>
      <c r="B71" t="s">
        <v>40</v>
      </c>
    </row>
    <row r="73" spans="1:12" ht="29" x14ac:dyDescent="0.35">
      <c r="A73" s="155" t="s">
        <v>251</v>
      </c>
      <c r="B73" s="155" t="s">
        <v>252</v>
      </c>
      <c r="C73" s="155" t="s">
        <v>178</v>
      </c>
      <c r="D73" s="121" t="s">
        <v>253</v>
      </c>
      <c r="E73" s="121" t="s">
        <v>254</v>
      </c>
    </row>
    <row r="74" spans="1:12" x14ac:dyDescent="0.35">
      <c r="A74" s="242" t="s">
        <v>184</v>
      </c>
      <c r="B74" s="184">
        <v>46</v>
      </c>
      <c r="C74" s="184">
        <v>42.1</v>
      </c>
      <c r="D74" s="182">
        <v>52</v>
      </c>
      <c r="E74" s="182">
        <v>55</v>
      </c>
    </row>
    <row r="75" spans="1:12" x14ac:dyDescent="0.35">
      <c r="A75" s="242" t="s">
        <v>185</v>
      </c>
      <c r="B75" s="184">
        <v>54</v>
      </c>
      <c r="C75" s="184">
        <v>57.9</v>
      </c>
      <c r="D75" s="182">
        <v>48</v>
      </c>
      <c r="E75" s="182">
        <v>45</v>
      </c>
    </row>
    <row r="77" spans="1:12" x14ac:dyDescent="0.35">
      <c r="A77" s="258" t="s">
        <v>41</v>
      </c>
      <c r="B77" t="s">
        <v>42</v>
      </c>
    </row>
    <row r="78" spans="1:12" ht="15" thickBot="1" x14ac:dyDescent="0.4"/>
    <row r="79" spans="1:12" x14ac:dyDescent="0.35">
      <c r="A79" s="251"/>
      <c r="B79" s="246" t="s">
        <v>255</v>
      </c>
      <c r="C79" s="247" t="s">
        <v>185</v>
      </c>
      <c r="D79" s="247"/>
      <c r="E79" s="247" t="s">
        <v>184</v>
      </c>
      <c r="F79" s="248"/>
    </row>
    <row r="80" spans="1:12" ht="15" thickBot="1" x14ac:dyDescent="0.4">
      <c r="A80" s="252" t="s">
        <v>114</v>
      </c>
      <c r="B80" s="257"/>
      <c r="C80" s="255" t="s">
        <v>235</v>
      </c>
      <c r="D80" s="255" t="s">
        <v>122</v>
      </c>
      <c r="E80" s="255" t="s">
        <v>235</v>
      </c>
      <c r="F80" s="256" t="s">
        <v>122</v>
      </c>
    </row>
    <row r="81" spans="1:6" x14ac:dyDescent="0.35">
      <c r="A81" s="249">
        <v>43555</v>
      </c>
      <c r="B81" s="253">
        <v>470</v>
      </c>
      <c r="C81" s="253">
        <v>51</v>
      </c>
      <c r="D81" s="253">
        <v>10.8</v>
      </c>
      <c r="E81" s="253">
        <v>26</v>
      </c>
      <c r="F81" s="254">
        <v>5.5</v>
      </c>
    </row>
    <row r="82" spans="1:6" x14ac:dyDescent="0.35">
      <c r="A82" s="249">
        <v>43921</v>
      </c>
      <c r="B82" s="184">
        <v>463</v>
      </c>
      <c r="C82" s="184">
        <v>56</v>
      </c>
      <c r="D82" s="184">
        <v>12.1</v>
      </c>
      <c r="E82" s="184">
        <v>26</v>
      </c>
      <c r="F82" s="243">
        <v>5.6</v>
      </c>
    </row>
    <row r="83" spans="1:6" x14ac:dyDescent="0.35">
      <c r="A83" s="249">
        <v>44286</v>
      </c>
      <c r="B83" s="184">
        <v>466</v>
      </c>
      <c r="C83" s="184">
        <v>29</v>
      </c>
      <c r="D83" s="184">
        <v>6.2</v>
      </c>
      <c r="E83" s="184">
        <v>24</v>
      </c>
      <c r="F83" s="243">
        <v>5.2</v>
      </c>
    </row>
    <row r="84" spans="1:6" x14ac:dyDescent="0.35">
      <c r="A84" s="249">
        <v>44651</v>
      </c>
      <c r="B84" s="184">
        <v>478</v>
      </c>
      <c r="C84" s="184">
        <v>46</v>
      </c>
      <c r="D84" s="184">
        <v>9.6</v>
      </c>
      <c r="E84" s="184">
        <v>33</v>
      </c>
      <c r="F84" s="243">
        <v>6.9</v>
      </c>
    </row>
    <row r="85" spans="1:6" x14ac:dyDescent="0.35">
      <c r="A85" s="249">
        <v>45016</v>
      </c>
      <c r="B85" s="184">
        <v>484</v>
      </c>
      <c r="C85" s="184">
        <v>43</v>
      </c>
      <c r="D85" s="184">
        <v>8.8000000000000007</v>
      </c>
      <c r="E85" s="184">
        <v>23</v>
      </c>
      <c r="F85" s="243">
        <v>4.7</v>
      </c>
    </row>
    <row r="86" spans="1:6" x14ac:dyDescent="0.35">
      <c r="A86" s="249">
        <v>45382</v>
      </c>
      <c r="B86" s="184">
        <v>483</v>
      </c>
      <c r="C86" s="182">
        <v>56</v>
      </c>
      <c r="D86" s="223">
        <v>11.6</v>
      </c>
      <c r="E86" s="182">
        <v>27</v>
      </c>
      <c r="F86" s="244">
        <v>6</v>
      </c>
    </row>
    <row r="87" spans="1:6" ht="15" thickBot="1" x14ac:dyDescent="0.4">
      <c r="A87" s="250" t="s">
        <v>125</v>
      </c>
      <c r="B87" s="233">
        <v>485</v>
      </c>
      <c r="C87" s="233">
        <v>40</v>
      </c>
      <c r="D87" s="232">
        <v>8</v>
      </c>
      <c r="E87" s="233">
        <v>20</v>
      </c>
      <c r="F87" s="245">
        <v>4.0999999999999996</v>
      </c>
    </row>
    <row r="90" spans="1:6" x14ac:dyDescent="0.35">
      <c r="A90" s="354" t="s">
        <v>159</v>
      </c>
      <c r="B90" s="354"/>
      <c r="C90" s="354"/>
      <c r="D90" s="354"/>
      <c r="E90" s="354"/>
    </row>
    <row r="91" spans="1:6" x14ac:dyDescent="0.35">
      <c r="A91" s="350" t="s">
        <v>160</v>
      </c>
      <c r="B91" s="350"/>
      <c r="C91" s="350"/>
      <c r="D91" s="350"/>
      <c r="E91" s="350"/>
    </row>
    <row r="92" spans="1:6" x14ac:dyDescent="0.35">
      <c r="A92" s="351"/>
      <c r="B92" s="351"/>
      <c r="C92" s="351"/>
      <c r="D92" s="351"/>
      <c r="E92" s="351"/>
    </row>
  </sheetData>
  <sheetProtection algorithmName="SHA-512" hashValue="PA+M34VHCG9nQnHYmw5MSQ8zyFgfl+xWWvVb1Mj5JgVOueoK1M17EvbGWl18aV/n1k/IbDalFiT7lLN7/xYIcg==" saltValue="hE2zco5UW+UjQvEmc2Gwgg==" spinCount="100000" sheet="1" formatCells="0" formatColumns="0" formatRows="0" insertColumns="0" insertRows="0" insertHyperlinks="0" deleteColumns="0" deleteRows="0" sort="0" autoFilter="0" pivotTables="0"/>
  <mergeCells count="38">
    <mergeCell ref="B5:D6"/>
    <mergeCell ref="O6:P6"/>
    <mergeCell ref="G62:H62"/>
    <mergeCell ref="I62:J62"/>
    <mergeCell ref="F34:G34"/>
    <mergeCell ref="H34:I34"/>
    <mergeCell ref="I6:J6"/>
    <mergeCell ref="G52:J52"/>
    <mergeCell ref="M6:N6"/>
    <mergeCell ref="M5:P5"/>
    <mergeCell ref="I5:L5"/>
    <mergeCell ref="E5:H6"/>
    <mergeCell ref="K6:L6"/>
    <mergeCell ref="K52:N52"/>
    <mergeCell ref="P34:S34"/>
    <mergeCell ref="J34:K34"/>
    <mergeCell ref="L34:O34"/>
    <mergeCell ref="A90:E90"/>
    <mergeCell ref="A34:A35"/>
    <mergeCell ref="B34:C34"/>
    <mergeCell ref="D34:E34"/>
    <mergeCell ref="A91:E91"/>
    <mergeCell ref="A92:E92"/>
    <mergeCell ref="B62:B63"/>
    <mergeCell ref="C52:F52"/>
    <mergeCell ref="A62:A63"/>
    <mergeCell ref="C62:D62"/>
    <mergeCell ref="E62:F62"/>
    <mergeCell ref="Q5:X5"/>
    <mergeCell ref="Y5:AF5"/>
    <mergeCell ref="Q6:R6"/>
    <mergeCell ref="U6:V6"/>
    <mergeCell ref="W6:X6"/>
    <mergeCell ref="Y6:Z6"/>
    <mergeCell ref="AC6:AD6"/>
    <mergeCell ref="AE6:AF6"/>
    <mergeCell ref="AA6:AB6"/>
    <mergeCell ref="S6:T6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D44AB-0E8A-4279-AAD8-F2D1154A855F}">
  <dimension ref="A1:Y99"/>
  <sheetViews>
    <sheetView showGridLines="0" zoomScale="90" zoomScaleNormal="90" workbookViewId="0">
      <selection activeCell="N10" sqref="N10"/>
    </sheetView>
  </sheetViews>
  <sheetFormatPr defaultRowHeight="14.5" x14ac:dyDescent="0.35"/>
  <cols>
    <col min="1" max="1" width="24.54296875" customWidth="1"/>
    <col min="2" max="2" width="13.54296875" style="10" customWidth="1"/>
    <col min="3" max="3" width="10.54296875" style="10" customWidth="1"/>
    <col min="4" max="4" width="12.453125" style="10" customWidth="1"/>
    <col min="5" max="5" width="14" style="10" bestFit="1" customWidth="1"/>
    <col min="6" max="6" width="11.81640625" style="10" bestFit="1" customWidth="1"/>
    <col min="7" max="7" width="11" style="10" customWidth="1"/>
    <col min="8" max="9" width="12.54296875" style="10" bestFit="1" customWidth="1"/>
    <col min="10" max="10" width="11.54296875" style="10" customWidth="1"/>
    <col min="11" max="11" width="12" customWidth="1"/>
    <col min="12" max="12" width="10.453125" customWidth="1"/>
    <col min="13" max="13" width="9.54296875" customWidth="1"/>
    <col min="14" max="14" width="11.81640625" customWidth="1"/>
    <col min="15" max="15" width="11.453125" customWidth="1"/>
    <col min="16" max="16" width="9.54296875" customWidth="1"/>
    <col min="17" max="17" width="12.453125" customWidth="1"/>
    <col min="18" max="18" width="12" customWidth="1"/>
    <col min="19" max="19" width="10.453125" customWidth="1"/>
    <col min="20" max="20" width="12.453125" customWidth="1"/>
    <col min="21" max="21" width="10.1796875" customWidth="1"/>
    <col min="22" max="22" width="11.453125" customWidth="1"/>
  </cols>
  <sheetData>
    <row r="1" spans="1:8" x14ac:dyDescent="0.35">
      <c r="A1" s="7" t="s">
        <v>256</v>
      </c>
    </row>
    <row r="2" spans="1:8" x14ac:dyDescent="0.35">
      <c r="A2" s="7"/>
    </row>
    <row r="3" spans="1:8" x14ac:dyDescent="0.35">
      <c r="A3" s="1" t="s">
        <v>44</v>
      </c>
      <c r="B3" t="s">
        <v>45</v>
      </c>
      <c r="C3"/>
      <c r="D3"/>
      <c r="E3"/>
    </row>
    <row r="5" spans="1:8" ht="43.5" x14ac:dyDescent="0.35">
      <c r="A5" s="3" t="s">
        <v>114</v>
      </c>
      <c r="B5" s="121" t="s">
        <v>257</v>
      </c>
      <c r="C5" s="121" t="s">
        <v>258</v>
      </c>
      <c r="D5" s="121" t="s">
        <v>259</v>
      </c>
      <c r="E5" s="121" t="s">
        <v>260</v>
      </c>
      <c r="F5" s="121" t="s">
        <v>261</v>
      </c>
      <c r="G5" s="121" t="s">
        <v>262</v>
      </c>
      <c r="H5" s="121" t="s">
        <v>171</v>
      </c>
    </row>
    <row r="6" spans="1:8" x14ac:dyDescent="0.35">
      <c r="A6" s="3">
        <v>43555</v>
      </c>
      <c r="B6" s="259">
        <v>0.01</v>
      </c>
      <c r="C6" s="259">
        <v>0</v>
      </c>
      <c r="D6" s="259">
        <v>0</v>
      </c>
      <c r="E6" s="259">
        <v>8.0000000000000002E-3</v>
      </c>
      <c r="F6" s="259">
        <v>6.0000000000000001E-3</v>
      </c>
      <c r="G6" s="259">
        <v>0.85399999999999998</v>
      </c>
      <c r="H6" s="259">
        <v>0.123</v>
      </c>
    </row>
    <row r="7" spans="1:8" x14ac:dyDescent="0.35">
      <c r="A7" s="3">
        <v>43921</v>
      </c>
      <c r="B7" s="259">
        <v>8.0000000000000002E-3</v>
      </c>
      <c r="C7" s="259">
        <v>0</v>
      </c>
      <c r="D7" s="259">
        <v>0</v>
      </c>
      <c r="E7" s="259">
        <v>8.0000000000000002E-3</v>
      </c>
      <c r="F7" s="259">
        <v>8.0000000000000002E-3</v>
      </c>
      <c r="G7" s="259">
        <v>0.86599999999999999</v>
      </c>
      <c r="H7" s="259">
        <v>0.108</v>
      </c>
    </row>
    <row r="8" spans="1:8" x14ac:dyDescent="0.35">
      <c r="A8" s="3">
        <v>44286</v>
      </c>
      <c r="B8" s="259">
        <v>0.01</v>
      </c>
      <c r="C8" s="259">
        <v>0</v>
      </c>
      <c r="D8" s="259">
        <v>0</v>
      </c>
      <c r="E8" s="259">
        <v>8.0000000000000002E-3</v>
      </c>
      <c r="F8" s="259">
        <v>6.0000000000000001E-3</v>
      </c>
      <c r="G8" s="259">
        <v>0.86</v>
      </c>
      <c r="H8" s="259">
        <v>0.114</v>
      </c>
    </row>
    <row r="9" spans="1:8" x14ac:dyDescent="0.35">
      <c r="A9" s="3">
        <v>44651</v>
      </c>
      <c r="B9" s="259">
        <v>8.0000000000000002E-3</v>
      </c>
      <c r="C9" s="259">
        <v>0</v>
      </c>
      <c r="D9" s="259">
        <v>2E-3</v>
      </c>
      <c r="E9" s="259">
        <v>8.0000000000000002E-3</v>
      </c>
      <c r="F9" s="259">
        <v>8.0000000000000002E-3</v>
      </c>
      <c r="G9" s="259">
        <v>0.872</v>
      </c>
      <c r="H9" s="259">
        <v>0.10299999999999999</v>
      </c>
    </row>
    <row r="10" spans="1:8" x14ac:dyDescent="0.35">
      <c r="A10" s="3">
        <v>45016</v>
      </c>
      <c r="B10" s="259">
        <v>6.0000000000000001E-3</v>
      </c>
      <c r="C10" s="259">
        <v>0</v>
      </c>
      <c r="D10" s="259">
        <v>2E-3</v>
      </c>
      <c r="E10" s="259">
        <v>8.0000000000000002E-3</v>
      </c>
      <c r="F10" s="259">
        <v>6.0000000000000001E-3</v>
      </c>
      <c r="G10" s="259">
        <v>0.86399999999999999</v>
      </c>
      <c r="H10" s="259">
        <v>0.10100000000000001</v>
      </c>
    </row>
    <row r="11" spans="1:8" x14ac:dyDescent="0.35">
      <c r="A11" s="3">
        <v>45382</v>
      </c>
      <c r="B11" s="259">
        <v>1.24E-2</v>
      </c>
      <c r="C11" s="259">
        <v>0</v>
      </c>
      <c r="D11" s="259">
        <v>0</v>
      </c>
      <c r="E11" s="259">
        <v>6.1999999999999998E-3</v>
      </c>
      <c r="F11" s="259">
        <v>1.8599999999999998E-2</v>
      </c>
      <c r="G11" s="259">
        <v>0.8841</v>
      </c>
      <c r="H11" s="259">
        <v>7.8700000000000006E-2</v>
      </c>
    </row>
    <row r="12" spans="1:8" x14ac:dyDescent="0.35">
      <c r="A12" s="3" t="s">
        <v>125</v>
      </c>
      <c r="B12" s="259">
        <v>1.24E-2</v>
      </c>
      <c r="C12" s="259">
        <v>0</v>
      </c>
      <c r="D12" s="259">
        <v>0</v>
      </c>
      <c r="E12" s="259">
        <v>4.1000000000000003E-3</v>
      </c>
      <c r="F12" s="259">
        <v>2.06E-2</v>
      </c>
      <c r="G12" s="259">
        <v>0.8</v>
      </c>
      <c r="H12" s="259">
        <v>0.1608</v>
      </c>
    </row>
    <row r="13" spans="1:8" x14ac:dyDescent="0.35">
      <c r="A13" s="3"/>
      <c r="B13" s="259"/>
      <c r="C13" s="259"/>
      <c r="D13" s="259"/>
      <c r="E13" s="259"/>
      <c r="F13" s="259"/>
      <c r="G13" s="311"/>
      <c r="H13" s="311"/>
    </row>
    <row r="14" spans="1:8" x14ac:dyDescent="0.35">
      <c r="A14" s="308" t="s">
        <v>240</v>
      </c>
      <c r="B14" s="309">
        <v>3.9E-2</v>
      </c>
      <c r="C14" s="310">
        <v>1.0800000000000001E-2</v>
      </c>
      <c r="D14" s="310">
        <v>1.1999999999999999E-3</v>
      </c>
      <c r="E14" s="310">
        <v>1.12E-2</v>
      </c>
      <c r="F14" s="310">
        <v>9.1000000000000004E-3</v>
      </c>
      <c r="G14" s="310">
        <v>0.92869999999999997</v>
      </c>
      <c r="H14" s="328" t="s">
        <v>263</v>
      </c>
    </row>
    <row r="15" spans="1:8" x14ac:dyDescent="0.35">
      <c r="B15" s="311"/>
      <c r="C15" s="312"/>
      <c r="D15" s="312"/>
      <c r="E15" s="312"/>
      <c r="F15" s="312"/>
    </row>
    <row r="16" spans="1:8" x14ac:dyDescent="0.35">
      <c r="A16" s="1" t="s">
        <v>46</v>
      </c>
      <c r="B16" t="s">
        <v>47</v>
      </c>
      <c r="C16"/>
    </row>
    <row r="17" spans="1:11" x14ac:dyDescent="0.35">
      <c r="A17" s="1"/>
      <c r="B17"/>
      <c r="C17"/>
    </row>
    <row r="18" spans="1:11" x14ac:dyDescent="0.35">
      <c r="A18" s="260"/>
      <c r="B18" s="406" t="s">
        <v>179</v>
      </c>
      <c r="C18" s="406"/>
      <c r="D18" s="406"/>
      <c r="E18" s="406"/>
      <c r="F18" s="407" t="s">
        <v>180</v>
      </c>
      <c r="G18" s="408"/>
      <c r="H18" s="408"/>
      <c r="I18" s="409"/>
    </row>
    <row r="19" spans="1:11" ht="25" customHeight="1" x14ac:dyDescent="0.35">
      <c r="A19" s="261" t="s">
        <v>264</v>
      </c>
      <c r="B19" s="4" t="s">
        <v>184</v>
      </c>
      <c r="C19" s="4" t="s">
        <v>185</v>
      </c>
      <c r="D19" s="4" t="s">
        <v>186</v>
      </c>
      <c r="E19" s="121" t="s">
        <v>171</v>
      </c>
      <c r="F19" s="4" t="s">
        <v>184</v>
      </c>
      <c r="G19" s="4" t="s">
        <v>185</v>
      </c>
      <c r="H19" s="4" t="s">
        <v>186</v>
      </c>
      <c r="I19" s="121" t="s">
        <v>171</v>
      </c>
    </row>
    <row r="20" spans="1:11" ht="29" x14ac:dyDescent="0.35">
      <c r="A20" s="262" t="s">
        <v>257</v>
      </c>
      <c r="B20" s="185">
        <v>0.62</v>
      </c>
      <c r="C20" s="185">
        <v>0.62</v>
      </c>
      <c r="D20" s="263">
        <v>0</v>
      </c>
      <c r="E20" s="263">
        <v>0</v>
      </c>
      <c r="F20" s="263">
        <v>0.41</v>
      </c>
      <c r="G20" s="263">
        <v>0.83</v>
      </c>
      <c r="H20" s="263">
        <v>0</v>
      </c>
      <c r="I20" s="263">
        <v>0</v>
      </c>
      <c r="K20" s="124"/>
    </row>
    <row r="21" spans="1:11" x14ac:dyDescent="0.35">
      <c r="A21" s="262" t="s">
        <v>258</v>
      </c>
      <c r="B21" s="185">
        <v>0</v>
      </c>
      <c r="C21" s="185">
        <v>0</v>
      </c>
      <c r="D21" s="263">
        <v>0</v>
      </c>
      <c r="E21" s="263">
        <v>0</v>
      </c>
      <c r="F21" s="263">
        <v>0</v>
      </c>
      <c r="G21" s="263">
        <v>0</v>
      </c>
      <c r="H21" s="263">
        <v>0</v>
      </c>
      <c r="I21" s="263">
        <v>0</v>
      </c>
      <c r="K21" s="264"/>
    </row>
    <row r="22" spans="1:11" x14ac:dyDescent="0.35">
      <c r="A22" s="262" t="s">
        <v>259</v>
      </c>
      <c r="B22" s="185">
        <v>0</v>
      </c>
      <c r="C22" s="185">
        <v>0</v>
      </c>
      <c r="D22" s="263">
        <v>0</v>
      </c>
      <c r="E22" s="263">
        <v>0</v>
      </c>
      <c r="F22" s="263">
        <v>0</v>
      </c>
      <c r="G22" s="263">
        <v>0</v>
      </c>
      <c r="H22" s="263">
        <v>0</v>
      </c>
      <c r="I22" s="263">
        <v>0</v>
      </c>
      <c r="K22" s="264"/>
    </row>
    <row r="23" spans="1:11" ht="29" x14ac:dyDescent="0.35">
      <c r="A23" s="262" t="s">
        <v>260</v>
      </c>
      <c r="B23" s="185">
        <v>0</v>
      </c>
      <c r="C23" s="185">
        <v>0.41</v>
      </c>
      <c r="D23" s="263">
        <v>0</v>
      </c>
      <c r="E23" s="263">
        <v>0</v>
      </c>
      <c r="F23" s="263">
        <v>0</v>
      </c>
      <c r="G23" s="263">
        <v>0.41</v>
      </c>
      <c r="H23" s="263">
        <v>0</v>
      </c>
      <c r="I23" s="263">
        <v>0</v>
      </c>
      <c r="K23" s="124"/>
    </row>
    <row r="24" spans="1:11" x14ac:dyDescent="0.35">
      <c r="A24" s="262" t="s">
        <v>261</v>
      </c>
      <c r="B24" s="185">
        <v>0.83</v>
      </c>
      <c r="C24" s="185">
        <v>1.04</v>
      </c>
      <c r="D24" s="263">
        <v>0</v>
      </c>
      <c r="E24" s="263">
        <v>0</v>
      </c>
      <c r="F24" s="263">
        <v>0.82</v>
      </c>
      <c r="G24" s="263">
        <v>1.24</v>
      </c>
      <c r="H24" s="263">
        <v>0</v>
      </c>
      <c r="I24" s="263">
        <v>0</v>
      </c>
      <c r="K24" s="264"/>
    </row>
    <row r="25" spans="1:11" x14ac:dyDescent="0.35">
      <c r="A25" s="262" t="s">
        <v>262</v>
      </c>
      <c r="B25" s="185">
        <v>35.82</v>
      </c>
      <c r="C25" s="185">
        <v>51.14</v>
      </c>
      <c r="D25" s="263">
        <v>0.83</v>
      </c>
      <c r="E25" s="263">
        <v>0.62</v>
      </c>
      <c r="F25" s="263">
        <v>33.61</v>
      </c>
      <c r="G25" s="263">
        <v>45.57</v>
      </c>
      <c r="H25" s="263">
        <v>0.41</v>
      </c>
      <c r="I25" s="263">
        <v>0.41</v>
      </c>
      <c r="K25" s="264"/>
    </row>
    <row r="26" spans="1:11" x14ac:dyDescent="0.35">
      <c r="A26" s="262" t="s">
        <v>171</v>
      </c>
      <c r="B26" s="185">
        <v>2.48</v>
      </c>
      <c r="C26" s="185">
        <v>3.11</v>
      </c>
      <c r="D26" s="263">
        <v>0</v>
      </c>
      <c r="E26" s="263">
        <v>2.2799999999999998</v>
      </c>
      <c r="F26" s="263">
        <v>5.57</v>
      </c>
      <c r="G26" s="263">
        <v>8.4499999999999993</v>
      </c>
      <c r="H26" s="263">
        <v>0</v>
      </c>
      <c r="I26" s="263">
        <v>2.06</v>
      </c>
      <c r="K26" s="264"/>
    </row>
    <row r="27" spans="1:11" x14ac:dyDescent="0.35">
      <c r="A27" s="1"/>
      <c r="B27"/>
      <c r="C27"/>
    </row>
    <row r="28" spans="1:11" x14ac:dyDescent="0.35">
      <c r="A28" s="1" t="s">
        <v>48</v>
      </c>
      <c r="B28" t="s">
        <v>49</v>
      </c>
      <c r="C28"/>
    </row>
    <row r="30" spans="1:11" x14ac:dyDescent="0.35">
      <c r="A30" s="410" t="s">
        <v>264</v>
      </c>
      <c r="B30" s="381" t="s">
        <v>174</v>
      </c>
      <c r="C30" s="381"/>
      <c r="D30" s="381" t="s">
        <v>175</v>
      </c>
      <c r="E30" s="381"/>
      <c r="F30" s="381" t="s">
        <v>176</v>
      </c>
      <c r="G30" s="381"/>
      <c r="H30" s="381" t="s">
        <v>177</v>
      </c>
      <c r="I30" s="381"/>
      <c r="J30" s="381" t="s">
        <v>178</v>
      </c>
      <c r="K30" s="381"/>
    </row>
    <row r="31" spans="1:11" x14ac:dyDescent="0.35">
      <c r="A31" s="410"/>
      <c r="B31" s="155" t="s">
        <v>184</v>
      </c>
      <c r="C31" s="155" t="s">
        <v>185</v>
      </c>
      <c r="D31" s="155" t="s">
        <v>184</v>
      </c>
      <c r="E31" s="155" t="s">
        <v>185</v>
      </c>
      <c r="F31" s="155" t="s">
        <v>184</v>
      </c>
      <c r="G31" s="155" t="s">
        <v>185</v>
      </c>
      <c r="H31" s="155" t="s">
        <v>184</v>
      </c>
      <c r="I31" s="155" t="s">
        <v>185</v>
      </c>
      <c r="J31" s="155" t="s">
        <v>184</v>
      </c>
      <c r="K31" s="155" t="s">
        <v>185</v>
      </c>
    </row>
    <row r="32" spans="1:11" x14ac:dyDescent="0.35">
      <c r="A32" s="242" t="s">
        <v>265</v>
      </c>
      <c r="B32" s="184" t="s">
        <v>266</v>
      </c>
      <c r="C32" s="184">
        <v>0.2</v>
      </c>
      <c r="D32" s="184">
        <v>0.2</v>
      </c>
      <c r="E32" s="184">
        <v>0.2</v>
      </c>
      <c r="F32" s="184">
        <v>0.2</v>
      </c>
      <c r="G32" s="184">
        <v>0.4</v>
      </c>
      <c r="H32" s="184" t="s">
        <v>266</v>
      </c>
      <c r="I32" s="184">
        <v>0.2</v>
      </c>
      <c r="J32" s="184" t="s">
        <v>266</v>
      </c>
      <c r="K32" s="184">
        <v>0.2</v>
      </c>
    </row>
    <row r="33" spans="1:11" x14ac:dyDescent="0.35">
      <c r="A33" s="242" t="s">
        <v>267</v>
      </c>
      <c r="B33" s="184">
        <v>0.2</v>
      </c>
      <c r="C33" s="184" t="s">
        <v>266</v>
      </c>
      <c r="D33" s="184">
        <v>0.2</v>
      </c>
      <c r="E33" s="184" t="s">
        <v>266</v>
      </c>
      <c r="F33" s="184">
        <v>0.2</v>
      </c>
      <c r="G33" s="184" t="s">
        <v>266</v>
      </c>
      <c r="H33" s="184">
        <v>0.2</v>
      </c>
      <c r="I33" s="184" t="s">
        <v>266</v>
      </c>
      <c r="J33" s="184">
        <v>0.2</v>
      </c>
      <c r="K33" s="184" t="s">
        <v>266</v>
      </c>
    </row>
    <row r="34" spans="1:11" x14ac:dyDescent="0.35">
      <c r="A34" s="242" t="s">
        <v>268</v>
      </c>
      <c r="B34" s="184">
        <v>0.2</v>
      </c>
      <c r="C34" s="184">
        <v>0.2</v>
      </c>
      <c r="D34" s="184">
        <v>0.2</v>
      </c>
      <c r="E34" s="184" t="s">
        <v>266</v>
      </c>
      <c r="F34" s="184">
        <v>0.2</v>
      </c>
      <c r="G34" s="184" t="s">
        <v>266</v>
      </c>
      <c r="H34" s="184">
        <v>0.2</v>
      </c>
      <c r="I34" s="184" t="s">
        <v>266</v>
      </c>
      <c r="J34" s="184">
        <v>0.2</v>
      </c>
      <c r="K34" s="184" t="s">
        <v>266</v>
      </c>
    </row>
    <row r="35" spans="1:11" x14ac:dyDescent="0.35">
      <c r="A35" s="242" t="s">
        <v>269</v>
      </c>
      <c r="B35" s="184">
        <v>0.2</v>
      </c>
      <c r="C35" s="184" t="s">
        <v>266</v>
      </c>
      <c r="D35" s="184" t="s">
        <v>266</v>
      </c>
      <c r="E35" s="184" t="s">
        <v>266</v>
      </c>
      <c r="F35" s="184" t="s">
        <v>266</v>
      </c>
      <c r="G35" s="184" t="s">
        <v>266</v>
      </c>
      <c r="H35" s="184" t="s">
        <v>266</v>
      </c>
      <c r="I35" s="184" t="s">
        <v>266</v>
      </c>
      <c r="J35" s="184" t="s">
        <v>266</v>
      </c>
      <c r="K35" s="184" t="s">
        <v>266</v>
      </c>
    </row>
    <row r="36" spans="1:11" x14ac:dyDescent="0.35">
      <c r="A36" s="242" t="s">
        <v>270</v>
      </c>
      <c r="B36" s="184" t="s">
        <v>266</v>
      </c>
      <c r="C36" s="184" t="s">
        <v>266</v>
      </c>
      <c r="D36" s="184" t="s">
        <v>266</v>
      </c>
      <c r="E36" s="184" t="s">
        <v>266</v>
      </c>
      <c r="F36" s="184" t="s">
        <v>266</v>
      </c>
      <c r="G36" s="184" t="s">
        <v>266</v>
      </c>
      <c r="H36" s="184">
        <v>0.2</v>
      </c>
      <c r="I36" s="184" t="s">
        <v>266</v>
      </c>
      <c r="J36" s="184" t="s">
        <v>266</v>
      </c>
      <c r="K36" s="184" t="s">
        <v>266</v>
      </c>
    </row>
    <row r="37" spans="1:11" x14ac:dyDescent="0.35">
      <c r="A37" s="242" t="s">
        <v>271</v>
      </c>
      <c r="B37" s="184" t="s">
        <v>266</v>
      </c>
      <c r="C37" s="184" t="s">
        <v>266</v>
      </c>
      <c r="D37" s="184" t="s">
        <v>266</v>
      </c>
      <c r="E37" s="184" t="s">
        <v>266</v>
      </c>
      <c r="F37" s="184" t="s">
        <v>266</v>
      </c>
      <c r="G37" s="184" t="s">
        <v>266</v>
      </c>
      <c r="H37" s="184" t="s">
        <v>266</v>
      </c>
      <c r="I37" s="184" t="s">
        <v>266</v>
      </c>
      <c r="J37" s="184" t="s">
        <v>266</v>
      </c>
      <c r="K37" s="184">
        <v>0.2</v>
      </c>
    </row>
    <row r="38" spans="1:11" x14ac:dyDescent="0.35">
      <c r="A38" s="242" t="s">
        <v>272</v>
      </c>
      <c r="B38" s="184">
        <v>0.9</v>
      </c>
      <c r="C38" s="184">
        <v>0.9</v>
      </c>
      <c r="D38" s="184">
        <v>0.9</v>
      </c>
      <c r="E38" s="184">
        <v>0.6</v>
      </c>
      <c r="F38" s="184">
        <v>0.9</v>
      </c>
      <c r="G38" s="184">
        <v>0.9</v>
      </c>
      <c r="H38" s="184">
        <v>0.4</v>
      </c>
      <c r="I38" s="184">
        <v>0.2</v>
      </c>
      <c r="J38" s="184">
        <v>0.4</v>
      </c>
      <c r="K38" s="184">
        <v>0.2</v>
      </c>
    </row>
    <row r="39" spans="1:11" x14ac:dyDescent="0.35">
      <c r="A39" s="242" t="s">
        <v>273</v>
      </c>
      <c r="B39" s="184">
        <v>3</v>
      </c>
      <c r="C39" s="184">
        <v>7.7</v>
      </c>
      <c r="D39" s="184">
        <v>2.6</v>
      </c>
      <c r="E39" s="184">
        <v>8.1999999999999993</v>
      </c>
      <c r="F39" s="184">
        <v>2.6</v>
      </c>
      <c r="G39" s="184">
        <v>8.6</v>
      </c>
      <c r="H39" s="184">
        <v>4.2</v>
      </c>
      <c r="I39" s="184">
        <v>9.8000000000000007</v>
      </c>
      <c r="J39" s="184">
        <v>4.7</v>
      </c>
      <c r="K39" s="184">
        <v>10.1</v>
      </c>
    </row>
    <row r="40" spans="1:11" x14ac:dyDescent="0.35">
      <c r="A40" s="242" t="s">
        <v>274</v>
      </c>
      <c r="B40" s="184">
        <v>12.8</v>
      </c>
      <c r="C40" s="184">
        <v>21.1</v>
      </c>
      <c r="D40" s="184">
        <v>13.6</v>
      </c>
      <c r="E40" s="184">
        <v>20.3</v>
      </c>
      <c r="F40" s="184">
        <v>12.4</v>
      </c>
      <c r="G40" s="184">
        <v>20.2</v>
      </c>
      <c r="H40" s="184">
        <v>11.7</v>
      </c>
      <c r="I40" s="184">
        <v>20.5</v>
      </c>
      <c r="J40" s="184">
        <v>11.6</v>
      </c>
      <c r="K40" s="184">
        <v>20.8</v>
      </c>
    </row>
    <row r="41" spans="1:11" x14ac:dyDescent="0.35">
      <c r="A41" s="242" t="s">
        <v>275</v>
      </c>
      <c r="B41" s="184">
        <v>19.600000000000001</v>
      </c>
      <c r="C41" s="184">
        <v>19.399999999999999</v>
      </c>
      <c r="D41" s="184">
        <v>21.4</v>
      </c>
      <c r="E41" s="184">
        <v>19</v>
      </c>
      <c r="F41" s="184">
        <v>21.9</v>
      </c>
      <c r="G41" s="184">
        <v>18.5</v>
      </c>
      <c r="H41" s="184">
        <v>20.7</v>
      </c>
      <c r="I41" s="184">
        <v>19.7</v>
      </c>
      <c r="J41" s="184">
        <v>20.399999999999999</v>
      </c>
      <c r="K41" s="184">
        <v>18.2</v>
      </c>
    </row>
    <row r="42" spans="1:11" x14ac:dyDescent="0.35">
      <c r="A42" s="242" t="s">
        <v>276</v>
      </c>
      <c r="B42" s="184">
        <v>0.4</v>
      </c>
      <c r="C42" s="184">
        <v>0.4</v>
      </c>
      <c r="D42" s="184">
        <v>0.6</v>
      </c>
      <c r="E42" s="184">
        <v>0.2</v>
      </c>
      <c r="F42" s="184">
        <v>0.6</v>
      </c>
      <c r="G42" s="184">
        <v>0.2</v>
      </c>
      <c r="H42" s="184">
        <v>0.6</v>
      </c>
      <c r="I42" s="184">
        <v>0.2</v>
      </c>
      <c r="J42" s="184">
        <v>0.6</v>
      </c>
      <c r="K42" s="184">
        <v>0.2</v>
      </c>
    </row>
    <row r="43" spans="1:11" x14ac:dyDescent="0.35">
      <c r="A43" s="242" t="s">
        <v>186</v>
      </c>
      <c r="B43" s="184">
        <v>0.2</v>
      </c>
      <c r="C43" s="184">
        <v>0.4</v>
      </c>
      <c r="D43" s="184">
        <v>0.4</v>
      </c>
      <c r="E43" s="184">
        <v>0.4</v>
      </c>
      <c r="F43" s="184">
        <v>0.4</v>
      </c>
      <c r="G43" s="184">
        <v>0.4</v>
      </c>
      <c r="H43" s="184">
        <v>0.2</v>
      </c>
      <c r="I43" s="184">
        <v>0.6</v>
      </c>
      <c r="J43" s="184">
        <v>0.2</v>
      </c>
      <c r="K43" s="184">
        <v>0.4</v>
      </c>
    </row>
    <row r="44" spans="1:11" x14ac:dyDescent="0.35">
      <c r="A44" s="265" t="s">
        <v>277</v>
      </c>
      <c r="B44" s="184">
        <v>4.9000000000000004</v>
      </c>
      <c r="C44" s="184">
        <v>7.4</v>
      </c>
      <c r="D44" s="184">
        <v>3.9</v>
      </c>
      <c r="E44" s="184">
        <v>6.9</v>
      </c>
      <c r="F44" s="184">
        <v>4.0999999999999996</v>
      </c>
      <c r="G44" s="184">
        <v>7.3</v>
      </c>
      <c r="H44" s="184">
        <v>3.8</v>
      </c>
      <c r="I44" s="184">
        <v>6.5</v>
      </c>
      <c r="J44" s="184">
        <v>3.9</v>
      </c>
      <c r="K44" s="184">
        <v>6.2</v>
      </c>
    </row>
    <row r="45" spans="1:11" x14ac:dyDescent="0.35">
      <c r="A45" s="242" t="s">
        <v>158</v>
      </c>
      <c r="B45" s="184">
        <v>42.3</v>
      </c>
      <c r="C45" s="184">
        <v>57.7</v>
      </c>
      <c r="D45" s="184">
        <v>44.1</v>
      </c>
      <c r="E45" s="184">
        <v>55.9</v>
      </c>
      <c r="F45" s="184">
        <v>43.6</v>
      </c>
      <c r="G45" s="184">
        <v>56.4</v>
      </c>
      <c r="H45" s="184">
        <v>42.3</v>
      </c>
      <c r="I45" s="184">
        <v>57.7</v>
      </c>
      <c r="J45" s="184">
        <v>42.4</v>
      </c>
      <c r="K45" s="184">
        <v>57.6</v>
      </c>
    </row>
    <row r="47" spans="1:11" x14ac:dyDescent="0.35">
      <c r="A47" s="1" t="s">
        <v>50</v>
      </c>
      <c r="B47" t="s">
        <v>51</v>
      </c>
      <c r="C47"/>
    </row>
    <row r="49" spans="1:25" ht="58" x14ac:dyDescent="0.35">
      <c r="A49" s="121" t="s">
        <v>191</v>
      </c>
      <c r="B49" s="121" t="s">
        <v>278</v>
      </c>
      <c r="C49" s="121" t="s">
        <v>279</v>
      </c>
      <c r="D49" s="121" t="s">
        <v>280</v>
      </c>
      <c r="E49" s="121" t="s">
        <v>281</v>
      </c>
      <c r="F49" s="121" t="s">
        <v>282</v>
      </c>
      <c r="G49" s="121" t="s">
        <v>283</v>
      </c>
      <c r="H49" s="121" t="s">
        <v>232</v>
      </c>
    </row>
    <row r="50" spans="1:25" x14ac:dyDescent="0.35">
      <c r="A50" s="121" t="s">
        <v>163</v>
      </c>
      <c r="B50" s="266">
        <v>0</v>
      </c>
      <c r="C50" s="266">
        <v>0</v>
      </c>
      <c r="D50" s="266">
        <v>0</v>
      </c>
      <c r="E50" s="266">
        <v>0</v>
      </c>
      <c r="F50" s="266">
        <v>0</v>
      </c>
      <c r="G50" s="267">
        <v>47</v>
      </c>
      <c r="H50" s="267">
        <v>53</v>
      </c>
      <c r="I50" s="268"/>
    </row>
    <row r="51" spans="1:25" x14ac:dyDescent="0.35">
      <c r="A51" s="121" t="s">
        <v>164</v>
      </c>
      <c r="B51" s="267">
        <v>1</v>
      </c>
      <c r="C51" s="266">
        <v>0</v>
      </c>
      <c r="D51" s="266">
        <v>0</v>
      </c>
      <c r="E51" s="267">
        <v>2</v>
      </c>
      <c r="F51" s="267">
        <v>2</v>
      </c>
      <c r="G51" s="267">
        <v>78</v>
      </c>
      <c r="H51" s="267">
        <v>17</v>
      </c>
      <c r="I51" s="268"/>
    </row>
    <row r="52" spans="1:25" x14ac:dyDescent="0.35">
      <c r="A52" s="121" t="s">
        <v>165</v>
      </c>
      <c r="B52" s="269">
        <v>0</v>
      </c>
      <c r="C52" s="269">
        <v>0</v>
      </c>
      <c r="D52" s="269">
        <v>0</v>
      </c>
      <c r="E52" s="270">
        <v>1</v>
      </c>
      <c r="F52" s="270">
        <v>2</v>
      </c>
      <c r="G52" s="270">
        <v>83</v>
      </c>
      <c r="H52" s="270">
        <v>14</v>
      </c>
      <c r="I52" s="268"/>
    </row>
    <row r="53" spans="1:25" x14ac:dyDescent="0.35">
      <c r="A53" s="121" t="s">
        <v>166</v>
      </c>
      <c r="B53" s="270">
        <v>2.7</v>
      </c>
      <c r="C53" s="269">
        <v>0</v>
      </c>
      <c r="D53" s="269">
        <v>0</v>
      </c>
      <c r="E53" s="269">
        <v>0</v>
      </c>
      <c r="F53" s="270">
        <v>1.8</v>
      </c>
      <c r="G53" s="270">
        <v>77.599999999999994</v>
      </c>
      <c r="H53" s="270">
        <v>17.8</v>
      </c>
      <c r="I53" s="268"/>
    </row>
    <row r="54" spans="1:25" x14ac:dyDescent="0.35">
      <c r="A54" s="121" t="s">
        <v>167</v>
      </c>
      <c r="B54" s="270">
        <v>1</v>
      </c>
      <c r="C54" s="269">
        <v>0</v>
      </c>
      <c r="D54" s="269">
        <v>0</v>
      </c>
      <c r="E54" s="270">
        <v>1</v>
      </c>
      <c r="F54" s="270">
        <v>1</v>
      </c>
      <c r="G54" s="270">
        <v>83.8</v>
      </c>
      <c r="H54" s="270">
        <v>13.3</v>
      </c>
      <c r="I54" s="268"/>
      <c r="K54" s="26"/>
      <c r="L54" s="26"/>
    </row>
    <row r="55" spans="1:25" x14ac:dyDescent="0.35">
      <c r="A55" s="121" t="s">
        <v>168</v>
      </c>
      <c r="B55" s="270">
        <v>5</v>
      </c>
      <c r="C55" s="269">
        <v>0</v>
      </c>
      <c r="D55" s="269">
        <v>0</v>
      </c>
      <c r="E55" s="270">
        <v>5</v>
      </c>
      <c r="F55" s="269">
        <v>0</v>
      </c>
      <c r="G55" s="270">
        <v>90</v>
      </c>
      <c r="H55" s="269">
        <v>0</v>
      </c>
    </row>
    <row r="57" spans="1:25" x14ac:dyDescent="0.35">
      <c r="A57" s="1" t="s">
        <v>52</v>
      </c>
      <c r="B57" t="s">
        <v>53</v>
      </c>
      <c r="C57"/>
      <c r="D57"/>
      <c r="E57"/>
      <c r="F57"/>
      <c r="G57"/>
      <c r="H57"/>
      <c r="I57"/>
      <c r="J57"/>
    </row>
    <row r="58" spans="1:25" x14ac:dyDescent="0.35">
      <c r="B58"/>
      <c r="C58"/>
      <c r="D58"/>
      <c r="E58"/>
      <c r="F58"/>
      <c r="G58"/>
      <c r="H58"/>
      <c r="I58"/>
      <c r="J58"/>
    </row>
    <row r="59" spans="1:25" ht="87" x14ac:dyDescent="0.35">
      <c r="A59" s="3" t="s">
        <v>114</v>
      </c>
      <c r="B59" s="121" t="s">
        <v>284</v>
      </c>
      <c r="C59" s="121" t="s">
        <v>285</v>
      </c>
      <c r="D59" s="121" t="s">
        <v>286</v>
      </c>
      <c r="E59" s="121" t="s">
        <v>287</v>
      </c>
      <c r="F59" s="121" t="s">
        <v>288</v>
      </c>
      <c r="G59" s="121" t="s">
        <v>289</v>
      </c>
      <c r="H59" s="121" t="s">
        <v>290</v>
      </c>
      <c r="I59" s="121" t="s">
        <v>291</v>
      </c>
      <c r="J59" s="121" t="s">
        <v>292</v>
      </c>
      <c r="K59" s="121" t="s">
        <v>293</v>
      </c>
      <c r="L59" s="121" t="s">
        <v>294</v>
      </c>
      <c r="M59" s="121" t="s">
        <v>295</v>
      </c>
      <c r="N59" s="121" t="s">
        <v>296</v>
      </c>
      <c r="O59" s="121" t="s">
        <v>297</v>
      </c>
      <c r="P59" s="121" t="s">
        <v>298</v>
      </c>
      <c r="Q59" s="121" t="s">
        <v>299</v>
      </c>
      <c r="R59" s="121" t="s">
        <v>300</v>
      </c>
      <c r="S59" s="121" t="s">
        <v>301</v>
      </c>
      <c r="T59" s="121" t="s">
        <v>302</v>
      </c>
      <c r="U59" s="121" t="s">
        <v>303</v>
      </c>
      <c r="V59" s="121" t="s">
        <v>304</v>
      </c>
    </row>
    <row r="60" spans="1:25" x14ac:dyDescent="0.35">
      <c r="A60" s="134">
        <v>44286</v>
      </c>
      <c r="B60" s="4">
        <f>61+15+32+12</f>
        <v>120</v>
      </c>
      <c r="C60" s="4">
        <f>3+1+3</f>
        <v>7</v>
      </c>
      <c r="D60" s="4">
        <v>1</v>
      </c>
      <c r="E60" s="4">
        <v>13</v>
      </c>
      <c r="F60" s="4">
        <v>1</v>
      </c>
      <c r="G60" s="4">
        <v>0</v>
      </c>
      <c r="H60" s="4">
        <v>7</v>
      </c>
      <c r="I60" s="4">
        <v>0</v>
      </c>
      <c r="J60" s="4">
        <v>0</v>
      </c>
      <c r="K60" s="4">
        <v>91</v>
      </c>
      <c r="L60" s="4">
        <v>6</v>
      </c>
      <c r="M60" s="4">
        <v>0</v>
      </c>
      <c r="N60" s="4">
        <v>27</v>
      </c>
      <c r="O60" s="4">
        <v>3</v>
      </c>
      <c r="P60" s="4">
        <v>1</v>
      </c>
      <c r="Q60" s="4">
        <f>68+650+587+834</f>
        <v>2139</v>
      </c>
      <c r="R60" s="4">
        <f>4+36+44+55</f>
        <v>139</v>
      </c>
      <c r="S60" s="4">
        <f>1+6+6+16</f>
        <v>29</v>
      </c>
      <c r="T60" s="4">
        <v>125</v>
      </c>
      <c r="U60" s="4">
        <v>5</v>
      </c>
      <c r="V60" s="4">
        <v>0</v>
      </c>
      <c r="W60">
        <f>V60+S60+P60+M60+J60+G60+D60</f>
        <v>31</v>
      </c>
      <c r="X60">
        <f>P60+M60+J60+G60+D60</f>
        <v>2</v>
      </c>
      <c r="Y60" s="26">
        <f>X60/W60</f>
        <v>6.4516129032258063E-2</v>
      </c>
    </row>
    <row r="61" spans="1:25" x14ac:dyDescent="0.35">
      <c r="A61" s="134">
        <v>44651</v>
      </c>
      <c r="B61" s="4">
        <f>16+8+9+1</f>
        <v>34</v>
      </c>
      <c r="C61" s="4">
        <v>2</v>
      </c>
      <c r="D61" s="4">
        <v>0</v>
      </c>
      <c r="E61" s="4">
        <v>15</v>
      </c>
      <c r="F61" s="4">
        <v>2</v>
      </c>
      <c r="G61" s="4">
        <v>1</v>
      </c>
      <c r="H61" s="4">
        <v>0</v>
      </c>
      <c r="I61" s="4">
        <v>0</v>
      </c>
      <c r="J61" s="4">
        <v>0</v>
      </c>
      <c r="K61" s="4">
        <v>22</v>
      </c>
      <c r="L61" s="4">
        <v>2</v>
      </c>
      <c r="M61" s="4">
        <v>2</v>
      </c>
      <c r="N61" s="4">
        <v>18</v>
      </c>
      <c r="O61" s="4">
        <v>2</v>
      </c>
      <c r="P61" s="4">
        <v>0</v>
      </c>
      <c r="Q61" s="4">
        <f>12+236+113+282</f>
        <v>643</v>
      </c>
      <c r="R61" s="4">
        <f>3+37+20+49</f>
        <v>109</v>
      </c>
      <c r="S61" s="4">
        <f>9+10+15</f>
        <v>34</v>
      </c>
      <c r="T61" s="4">
        <v>221</v>
      </c>
      <c r="U61" s="4">
        <v>79</v>
      </c>
      <c r="V61" s="4">
        <v>22</v>
      </c>
      <c r="W61">
        <f t="shared" ref="W61:W64" si="0">V61+S61+P61+M61+J61+G61+D61</f>
        <v>59</v>
      </c>
      <c r="X61">
        <f t="shared" ref="X61:X64" si="1">P61+M61+J61+G61+D61</f>
        <v>3</v>
      </c>
      <c r="Y61" s="26">
        <f t="shared" ref="Y61:Y64" si="2">X61/W61</f>
        <v>5.0847457627118647E-2</v>
      </c>
    </row>
    <row r="62" spans="1:25" x14ac:dyDescent="0.35">
      <c r="A62" s="134">
        <v>45016</v>
      </c>
      <c r="B62" s="4">
        <f>1+33+19+29+4</f>
        <v>86</v>
      </c>
      <c r="C62" s="4">
        <f>1+4+3+1+1</f>
        <v>10</v>
      </c>
      <c r="D62" s="4">
        <v>4</v>
      </c>
      <c r="E62" s="4">
        <v>11</v>
      </c>
      <c r="F62" s="4">
        <v>0</v>
      </c>
      <c r="G62" s="4">
        <v>0</v>
      </c>
      <c r="H62" s="4">
        <v>5</v>
      </c>
      <c r="I62" s="4">
        <v>1</v>
      </c>
      <c r="J62" s="4">
        <v>1</v>
      </c>
      <c r="K62" s="4">
        <v>58</v>
      </c>
      <c r="L62" s="4">
        <v>3</v>
      </c>
      <c r="M62" s="4">
        <v>0</v>
      </c>
      <c r="N62" s="4">
        <v>35</v>
      </c>
      <c r="O62" s="4">
        <v>3</v>
      </c>
      <c r="P62" s="4">
        <v>0</v>
      </c>
      <c r="Q62" s="4">
        <f>34+414+257+499</f>
        <v>1204</v>
      </c>
      <c r="R62" s="4">
        <f>9+68+68+116</f>
        <v>261</v>
      </c>
      <c r="S62" s="4">
        <f>2+13+16+36</f>
        <v>67</v>
      </c>
      <c r="T62" s="4">
        <v>84</v>
      </c>
      <c r="U62" s="4">
        <v>12</v>
      </c>
      <c r="V62" s="4">
        <v>5</v>
      </c>
      <c r="W62">
        <f t="shared" si="0"/>
        <v>77</v>
      </c>
      <c r="X62">
        <f t="shared" si="1"/>
        <v>5</v>
      </c>
      <c r="Y62" s="26">
        <f t="shared" si="2"/>
        <v>6.4935064935064929E-2</v>
      </c>
    </row>
    <row r="63" spans="1:25" x14ac:dyDescent="0.35">
      <c r="A63" s="134">
        <v>45382</v>
      </c>
      <c r="B63" s="4">
        <v>255</v>
      </c>
      <c r="C63" s="4">
        <v>18</v>
      </c>
      <c r="D63" s="4">
        <v>3</v>
      </c>
      <c r="E63" s="4">
        <v>108</v>
      </c>
      <c r="F63" s="4">
        <v>18</v>
      </c>
      <c r="G63" s="4">
        <v>1</v>
      </c>
      <c r="H63" s="4">
        <v>9</v>
      </c>
      <c r="I63" s="4">
        <v>1</v>
      </c>
      <c r="J63" s="4">
        <v>0</v>
      </c>
      <c r="K63" s="4">
        <v>180</v>
      </c>
      <c r="L63" s="4">
        <v>24</v>
      </c>
      <c r="M63" s="4">
        <v>2</v>
      </c>
      <c r="N63" s="4">
        <v>3</v>
      </c>
      <c r="O63" s="4">
        <v>0</v>
      </c>
      <c r="P63" s="4">
        <v>0</v>
      </c>
      <c r="Q63" s="4">
        <v>1935</v>
      </c>
      <c r="R63" s="4">
        <v>360</v>
      </c>
      <c r="S63" s="4">
        <v>47</v>
      </c>
      <c r="T63" s="4">
        <v>180</v>
      </c>
      <c r="U63" s="4">
        <v>37</v>
      </c>
      <c r="V63" s="4">
        <v>8</v>
      </c>
      <c r="W63">
        <f t="shared" si="0"/>
        <v>61</v>
      </c>
      <c r="X63">
        <f t="shared" si="1"/>
        <v>6</v>
      </c>
      <c r="Y63" s="26">
        <f t="shared" si="2"/>
        <v>9.8360655737704916E-2</v>
      </c>
    </row>
    <row r="64" spans="1:25" x14ac:dyDescent="0.35">
      <c r="A64" s="4" t="s">
        <v>125</v>
      </c>
      <c r="B64" s="4">
        <v>522</v>
      </c>
      <c r="C64" s="4">
        <v>53</v>
      </c>
      <c r="D64" s="4">
        <v>7</v>
      </c>
      <c r="E64" s="4">
        <v>130</v>
      </c>
      <c r="F64" s="4">
        <v>19</v>
      </c>
      <c r="G64" s="4">
        <v>3</v>
      </c>
      <c r="H64" s="4">
        <v>25</v>
      </c>
      <c r="I64" s="4">
        <v>4</v>
      </c>
      <c r="J64" s="4">
        <v>1</v>
      </c>
      <c r="K64" s="4">
        <v>280</v>
      </c>
      <c r="L64" s="4">
        <v>32</v>
      </c>
      <c r="M64" s="4">
        <v>6</v>
      </c>
      <c r="N64" s="4">
        <v>11</v>
      </c>
      <c r="O64" s="4">
        <v>1</v>
      </c>
      <c r="P64" s="4">
        <v>0</v>
      </c>
      <c r="Q64" s="4">
        <v>3725</v>
      </c>
      <c r="R64" s="4">
        <v>644</v>
      </c>
      <c r="S64" s="4">
        <v>66</v>
      </c>
      <c r="T64" s="4">
        <v>296</v>
      </c>
      <c r="U64" s="4">
        <v>36</v>
      </c>
      <c r="V64" s="4">
        <v>0</v>
      </c>
      <c r="W64">
        <f t="shared" si="0"/>
        <v>83</v>
      </c>
      <c r="X64">
        <f t="shared" si="1"/>
        <v>17</v>
      </c>
      <c r="Y64" s="26">
        <f t="shared" si="2"/>
        <v>0.20481927710843373</v>
      </c>
    </row>
    <row r="66" spans="1:7" x14ac:dyDescent="0.35">
      <c r="A66" s="1" t="s">
        <v>54</v>
      </c>
      <c r="B66" t="s">
        <v>55</v>
      </c>
    </row>
    <row r="68" spans="1:7" x14ac:dyDescent="0.35">
      <c r="A68" s="242" t="s">
        <v>264</v>
      </c>
      <c r="B68" s="155" t="s">
        <v>204</v>
      </c>
      <c r="C68" s="155" t="s">
        <v>205</v>
      </c>
      <c r="D68" s="155" t="s">
        <v>206</v>
      </c>
      <c r="E68" s="155" t="s">
        <v>153</v>
      </c>
      <c r="F68" s="155" t="s">
        <v>154</v>
      </c>
      <c r="G68" s="155" t="s">
        <v>207</v>
      </c>
    </row>
    <row r="69" spans="1:7" x14ac:dyDescent="0.35">
      <c r="A69" s="271" t="s">
        <v>265</v>
      </c>
      <c r="B69" s="184">
        <v>2</v>
      </c>
      <c r="C69" s="184">
        <v>2</v>
      </c>
      <c r="D69" s="184" t="s">
        <v>266</v>
      </c>
      <c r="E69" s="184">
        <v>1</v>
      </c>
      <c r="F69" s="272"/>
      <c r="G69" s="272"/>
    </row>
    <row r="70" spans="1:7" x14ac:dyDescent="0.35">
      <c r="A70" s="242" t="s">
        <v>267</v>
      </c>
      <c r="B70" s="184" t="s">
        <v>266</v>
      </c>
      <c r="C70" s="184" t="s">
        <v>266</v>
      </c>
      <c r="D70" s="184" t="s">
        <v>266</v>
      </c>
      <c r="E70" s="184" t="s">
        <v>266</v>
      </c>
      <c r="F70" s="272"/>
      <c r="G70" s="272"/>
    </row>
    <row r="71" spans="1:7" x14ac:dyDescent="0.35">
      <c r="A71" s="242" t="s">
        <v>268</v>
      </c>
      <c r="B71" s="184">
        <v>1</v>
      </c>
      <c r="C71" s="184">
        <v>1</v>
      </c>
      <c r="D71" s="184">
        <v>1</v>
      </c>
      <c r="E71" s="184" t="s">
        <v>266</v>
      </c>
      <c r="F71" s="272"/>
      <c r="G71" s="272"/>
    </row>
    <row r="72" spans="1:7" x14ac:dyDescent="0.35">
      <c r="A72" s="242" t="s">
        <v>269</v>
      </c>
      <c r="B72" s="184" t="s">
        <v>266</v>
      </c>
      <c r="C72" s="184" t="s">
        <v>266</v>
      </c>
      <c r="D72" s="184" t="s">
        <v>266</v>
      </c>
      <c r="E72" s="184" t="s">
        <v>266</v>
      </c>
      <c r="F72" s="272"/>
      <c r="G72" s="272"/>
    </row>
    <row r="73" spans="1:7" ht="29" x14ac:dyDescent="0.35">
      <c r="A73" s="133" t="s">
        <v>257</v>
      </c>
      <c r="B73" s="273"/>
      <c r="C73" s="273"/>
      <c r="D73" s="273"/>
      <c r="E73" s="273"/>
      <c r="F73" s="9">
        <v>3</v>
      </c>
      <c r="G73" s="9">
        <v>1</v>
      </c>
    </row>
    <row r="74" spans="1:7" x14ac:dyDescent="0.35">
      <c r="A74" s="242" t="s">
        <v>270</v>
      </c>
      <c r="B74" s="184" t="s">
        <v>266</v>
      </c>
      <c r="C74" s="184" t="s">
        <v>266</v>
      </c>
      <c r="D74" s="184">
        <v>1</v>
      </c>
      <c r="E74" s="184" t="s">
        <v>266</v>
      </c>
      <c r="F74" s="272"/>
      <c r="G74" s="272"/>
    </row>
    <row r="75" spans="1:7" x14ac:dyDescent="0.35">
      <c r="A75" s="274" t="s">
        <v>258</v>
      </c>
      <c r="B75" s="273"/>
      <c r="C75" s="273"/>
      <c r="D75" s="273"/>
      <c r="E75" s="273"/>
      <c r="F75" s="9">
        <v>0</v>
      </c>
      <c r="G75" s="9">
        <v>0</v>
      </c>
    </row>
    <row r="76" spans="1:7" x14ac:dyDescent="0.35">
      <c r="A76" s="242" t="s">
        <v>271</v>
      </c>
      <c r="B76" s="275" t="s">
        <v>266</v>
      </c>
      <c r="C76" s="275" t="s">
        <v>266</v>
      </c>
      <c r="D76" s="275" t="s">
        <v>266</v>
      </c>
      <c r="E76" s="275" t="s">
        <v>266</v>
      </c>
      <c r="F76" s="272"/>
      <c r="G76" s="272"/>
    </row>
    <row r="77" spans="1:7" x14ac:dyDescent="0.35">
      <c r="A77" s="274" t="s">
        <v>259</v>
      </c>
      <c r="B77" s="273"/>
      <c r="C77" s="273"/>
      <c r="D77" s="273"/>
      <c r="E77" s="273"/>
      <c r="F77" s="9">
        <v>1</v>
      </c>
      <c r="G77" s="9">
        <v>0</v>
      </c>
    </row>
    <row r="78" spans="1:7" x14ac:dyDescent="0.35">
      <c r="A78" s="242" t="s">
        <v>272</v>
      </c>
      <c r="B78" s="184">
        <v>6</v>
      </c>
      <c r="C78" s="184">
        <v>4</v>
      </c>
      <c r="D78" s="184">
        <v>2</v>
      </c>
      <c r="E78" s="184">
        <v>3</v>
      </c>
      <c r="F78" s="272"/>
      <c r="G78" s="272"/>
    </row>
    <row r="79" spans="1:7" x14ac:dyDescent="0.35">
      <c r="A79" s="242" t="s">
        <v>273</v>
      </c>
      <c r="B79" s="184">
        <v>40</v>
      </c>
      <c r="C79" s="184">
        <v>32</v>
      </c>
      <c r="D79" s="184">
        <v>24</v>
      </c>
      <c r="E79" s="184">
        <v>39</v>
      </c>
      <c r="F79" s="272"/>
      <c r="G79" s="272"/>
    </row>
    <row r="80" spans="1:7" x14ac:dyDescent="0.35">
      <c r="A80" s="242" t="s">
        <v>274</v>
      </c>
      <c r="B80" s="184">
        <v>113</v>
      </c>
      <c r="C80" s="184">
        <v>104</v>
      </c>
      <c r="D80" s="184">
        <v>76</v>
      </c>
      <c r="E80" s="184">
        <v>109</v>
      </c>
      <c r="F80" s="272"/>
      <c r="G80" s="272"/>
    </row>
    <row r="81" spans="1:7" x14ac:dyDescent="0.35">
      <c r="A81" s="242" t="s">
        <v>275</v>
      </c>
      <c r="B81" s="184">
        <v>134</v>
      </c>
      <c r="C81" s="184">
        <v>119</v>
      </c>
      <c r="D81" s="184">
        <v>122</v>
      </c>
      <c r="E81" s="184">
        <v>111</v>
      </c>
      <c r="F81" s="272"/>
      <c r="G81" s="272"/>
    </row>
    <row r="82" spans="1:7" ht="42" customHeight="1" x14ac:dyDescent="0.35">
      <c r="A82" s="133" t="s">
        <v>262</v>
      </c>
      <c r="B82" s="273"/>
      <c r="C82" s="273"/>
      <c r="D82" s="273"/>
      <c r="E82" s="273"/>
      <c r="F82" s="9">
        <v>394</v>
      </c>
      <c r="G82" s="9">
        <v>217</v>
      </c>
    </row>
    <row r="83" spans="1:7" ht="41.15" customHeight="1" x14ac:dyDescent="0.35">
      <c r="A83" s="274" t="s">
        <v>260</v>
      </c>
      <c r="B83" s="276">
        <v>4</v>
      </c>
      <c r="C83" s="276">
        <v>3</v>
      </c>
      <c r="D83" s="276">
        <v>2</v>
      </c>
      <c r="E83" s="276">
        <v>2</v>
      </c>
      <c r="F83" s="9">
        <v>11</v>
      </c>
      <c r="G83" s="9">
        <v>7</v>
      </c>
    </row>
    <row r="84" spans="1:7" x14ac:dyDescent="0.35">
      <c r="A84" s="274" t="s">
        <v>261</v>
      </c>
      <c r="B84" s="276">
        <v>3</v>
      </c>
      <c r="C84" s="276">
        <v>2</v>
      </c>
      <c r="D84" s="276">
        <v>3</v>
      </c>
      <c r="E84" s="276">
        <v>1</v>
      </c>
      <c r="F84" s="9">
        <v>0</v>
      </c>
      <c r="G84" s="9">
        <v>0</v>
      </c>
    </row>
    <row r="85" spans="1:7" x14ac:dyDescent="0.35">
      <c r="A85" s="274" t="s">
        <v>171</v>
      </c>
      <c r="B85" s="276">
        <v>42</v>
      </c>
      <c r="C85" s="276">
        <v>41</v>
      </c>
      <c r="D85" s="276">
        <v>23</v>
      </c>
      <c r="E85" s="276">
        <v>34</v>
      </c>
      <c r="F85" s="9">
        <v>30</v>
      </c>
      <c r="G85" s="9">
        <v>50</v>
      </c>
    </row>
    <row r="86" spans="1:7" x14ac:dyDescent="0.35">
      <c r="A86" s="242" t="s">
        <v>158</v>
      </c>
      <c r="B86" s="184">
        <v>345</v>
      </c>
      <c r="C86" s="184">
        <v>308</v>
      </c>
      <c r="D86" s="184">
        <v>254</v>
      </c>
      <c r="E86" s="184">
        <v>300</v>
      </c>
      <c r="F86" s="121">
        <f>SUM(F69:F85)</f>
        <v>439</v>
      </c>
      <c r="G86" s="121">
        <f>SUM(G69:G85)</f>
        <v>275</v>
      </c>
    </row>
    <row r="88" spans="1:7" ht="14.5" customHeight="1" x14ac:dyDescent="0.35">
      <c r="A88" s="43" t="s">
        <v>56</v>
      </c>
      <c r="B88" s="405" t="s">
        <v>57</v>
      </c>
      <c r="C88" s="405"/>
      <c r="D88" s="405"/>
      <c r="E88" s="405"/>
      <c r="F88" s="405"/>
      <c r="G88" s="405"/>
    </row>
    <row r="90" spans="1:7" x14ac:dyDescent="0.35">
      <c r="A90" s="353" t="s">
        <v>126</v>
      </c>
      <c r="B90" s="353"/>
    </row>
    <row r="91" spans="1:7" x14ac:dyDescent="0.35">
      <c r="A91" s="4" t="s">
        <v>262</v>
      </c>
      <c r="B91" s="152">
        <f>40/53</f>
        <v>0.75471698113207553</v>
      </c>
    </row>
    <row r="92" spans="1:7" x14ac:dyDescent="0.35">
      <c r="A92" s="121" t="s">
        <v>305</v>
      </c>
      <c r="B92" s="152">
        <f>1/53</f>
        <v>1.8867924528301886E-2</v>
      </c>
    </row>
    <row r="93" spans="1:7" ht="29" x14ac:dyDescent="0.35">
      <c r="A93" s="121" t="s">
        <v>257</v>
      </c>
      <c r="B93" s="152">
        <f>8/53</f>
        <v>0.15094339622641509</v>
      </c>
    </row>
    <row r="94" spans="1:7" ht="29" x14ac:dyDescent="0.35">
      <c r="A94" s="121" t="s">
        <v>260</v>
      </c>
      <c r="B94" s="152">
        <f>1/53</f>
        <v>1.8867924528301886E-2</v>
      </c>
    </row>
    <row r="95" spans="1:7" x14ac:dyDescent="0.35">
      <c r="A95" s="121" t="s">
        <v>171</v>
      </c>
      <c r="B95" s="152">
        <f>3/53</f>
        <v>5.6603773584905662E-2</v>
      </c>
    </row>
    <row r="97" spans="1:5" x14ac:dyDescent="0.35">
      <c r="A97" s="354" t="s">
        <v>159</v>
      </c>
      <c r="B97" s="354"/>
      <c r="C97" s="354"/>
      <c r="D97" s="354"/>
      <c r="E97" s="354"/>
    </row>
    <row r="98" spans="1:5" x14ac:dyDescent="0.35">
      <c r="A98" s="350" t="s">
        <v>160</v>
      </c>
      <c r="B98" s="350"/>
      <c r="C98" s="350"/>
      <c r="D98" s="350"/>
      <c r="E98" s="350"/>
    </row>
    <row r="99" spans="1:5" x14ac:dyDescent="0.35">
      <c r="A99" s="351"/>
      <c r="B99" s="351"/>
      <c r="C99" s="351"/>
      <c r="D99" s="351"/>
      <c r="E99" s="351"/>
    </row>
  </sheetData>
  <sheetProtection algorithmName="SHA-512" hashValue="vRb2vG/8fuTcmtVFK1E/RBjhtCdn30/IcbkYBO5cAXbGEzFZcUKY0j/zjRyIFOdQzCczQgN0MByUv8k0Akha3g==" saltValue="rAtQiwHrXUmbFY3OVK2j0w==" spinCount="100000" sheet="1" formatCells="0" formatColumns="0" formatRows="0" insertColumns="0" insertRows="0" insertHyperlinks="0" deleteColumns="0" deleteRows="0" sort="0" autoFilter="0" pivotTables="0"/>
  <mergeCells count="13">
    <mergeCell ref="H30:I30"/>
    <mergeCell ref="J30:K30"/>
    <mergeCell ref="B18:E18"/>
    <mergeCell ref="F18:I18"/>
    <mergeCell ref="A30:A31"/>
    <mergeCell ref="B30:C30"/>
    <mergeCell ref="D30:E30"/>
    <mergeCell ref="F30:G30"/>
    <mergeCell ref="A97:E97"/>
    <mergeCell ref="A98:E98"/>
    <mergeCell ref="A99:E99"/>
    <mergeCell ref="A90:B90"/>
    <mergeCell ref="B88:G88"/>
  </mergeCells>
  <pageMargins left="0.7" right="0.7" top="0.75" bottom="0.75" header="0.3" footer="0.3"/>
  <pageSetup paperSize="9" orientation="portrait" r:id="rId1"/>
  <ignoredErrors>
    <ignoredError sqref="B9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0BC5D-995D-47F8-8BF4-E4E9D5A3DACA}">
  <dimension ref="A1:X85"/>
  <sheetViews>
    <sheetView showGridLines="0" topLeftCell="A80" zoomScale="90" zoomScaleNormal="90" workbookViewId="0"/>
  </sheetViews>
  <sheetFormatPr defaultRowHeight="14.5" x14ac:dyDescent="0.35"/>
  <cols>
    <col min="1" max="1" width="13.453125" customWidth="1"/>
    <col min="2" max="2" width="11.453125" customWidth="1"/>
    <col min="3" max="3" width="14.453125" customWidth="1"/>
    <col min="4" max="4" width="12.1796875" customWidth="1"/>
    <col min="5" max="5" width="13.1796875" customWidth="1"/>
    <col min="6" max="6" width="10.81640625" customWidth="1"/>
    <col min="7" max="7" width="12.453125" customWidth="1"/>
    <col min="8" max="8" width="10.1796875" customWidth="1"/>
    <col min="9" max="9" width="10.453125" customWidth="1"/>
    <col min="10" max="10" width="10.54296875" customWidth="1"/>
    <col min="11" max="11" width="10.81640625" customWidth="1"/>
    <col min="12" max="12" width="10.54296875" customWidth="1"/>
    <col min="13" max="13" width="13.54296875" customWidth="1"/>
  </cols>
  <sheetData>
    <row r="1" spans="1:6" x14ac:dyDescent="0.35">
      <c r="A1" s="6" t="s">
        <v>306</v>
      </c>
    </row>
    <row r="2" spans="1:6" x14ac:dyDescent="0.35">
      <c r="A2" s="6"/>
    </row>
    <row r="3" spans="1:6" x14ac:dyDescent="0.35">
      <c r="A3" s="1" t="s">
        <v>59</v>
      </c>
      <c r="B3" s="171" t="s">
        <v>60</v>
      </c>
      <c r="C3" s="2"/>
      <c r="D3" s="2"/>
    </row>
    <row r="4" spans="1:6" ht="14.5" customHeight="1" x14ac:dyDescent="0.35">
      <c r="A4" s="6"/>
    </row>
    <row r="5" spans="1:6" ht="93" customHeight="1" x14ac:dyDescent="0.35">
      <c r="A5" s="3" t="s">
        <v>114</v>
      </c>
      <c r="B5" s="4" t="s">
        <v>115</v>
      </c>
      <c r="C5" s="121" t="s">
        <v>307</v>
      </c>
      <c r="D5" s="121" t="s">
        <v>308</v>
      </c>
      <c r="E5" s="121" t="s">
        <v>309</v>
      </c>
    </row>
    <row r="6" spans="1:6" x14ac:dyDescent="0.35">
      <c r="A6" s="3">
        <v>43555</v>
      </c>
      <c r="B6" s="4">
        <v>470</v>
      </c>
      <c r="C6" s="164">
        <v>0.06</v>
      </c>
      <c r="D6" s="164">
        <v>0.59</v>
      </c>
      <c r="E6" s="164">
        <v>0.35</v>
      </c>
    </row>
    <row r="7" spans="1:6" x14ac:dyDescent="0.35">
      <c r="A7" s="3">
        <v>43921</v>
      </c>
      <c r="B7" s="4">
        <v>463</v>
      </c>
      <c r="C7" s="5">
        <v>7.0000000000000007E-2</v>
      </c>
      <c r="D7" s="164">
        <v>0.54</v>
      </c>
      <c r="E7" s="164">
        <v>0.39</v>
      </c>
    </row>
    <row r="8" spans="1:6" x14ac:dyDescent="0.35">
      <c r="A8" s="3">
        <v>44286</v>
      </c>
      <c r="B8" s="4">
        <v>466</v>
      </c>
      <c r="C8" s="164">
        <v>0.06</v>
      </c>
      <c r="D8" s="164">
        <v>0.5</v>
      </c>
      <c r="E8" s="164">
        <v>0.44</v>
      </c>
    </row>
    <row r="9" spans="1:6" x14ac:dyDescent="0.35">
      <c r="A9" s="3">
        <v>44651</v>
      </c>
      <c r="B9" s="4">
        <v>478</v>
      </c>
      <c r="C9" s="164">
        <v>0.06</v>
      </c>
      <c r="D9" s="164">
        <v>0.45</v>
      </c>
      <c r="E9" s="164">
        <v>0.48</v>
      </c>
    </row>
    <row r="10" spans="1:6" x14ac:dyDescent="0.35">
      <c r="A10" s="3">
        <v>45016</v>
      </c>
      <c r="B10" s="4">
        <v>484</v>
      </c>
      <c r="C10" s="164">
        <v>0.06</v>
      </c>
      <c r="D10" s="164">
        <v>0.4</v>
      </c>
      <c r="E10" s="164">
        <v>0.54</v>
      </c>
    </row>
    <row r="11" spans="1:6" x14ac:dyDescent="0.35">
      <c r="A11" s="3">
        <v>45382</v>
      </c>
      <c r="B11" s="4">
        <v>483</v>
      </c>
      <c r="C11" s="164">
        <v>0.1139</v>
      </c>
      <c r="D11" s="164">
        <v>0.83</v>
      </c>
      <c r="E11" s="164">
        <v>0.06</v>
      </c>
    </row>
    <row r="12" spans="1:6" x14ac:dyDescent="0.35">
      <c r="A12" s="3">
        <v>45672</v>
      </c>
      <c r="B12" s="4">
        <v>485</v>
      </c>
      <c r="C12" s="164">
        <v>0.1031</v>
      </c>
      <c r="D12" s="164">
        <v>0.84119999999999995</v>
      </c>
      <c r="E12" s="164">
        <v>5.57E-2</v>
      </c>
    </row>
    <row r="13" spans="1:6" x14ac:dyDescent="0.35">
      <c r="A13" s="206"/>
      <c r="B13" s="43"/>
      <c r="C13" s="169"/>
      <c r="D13" s="169"/>
      <c r="E13" s="169"/>
    </row>
    <row r="14" spans="1:6" ht="32.15" customHeight="1" x14ac:dyDescent="0.35">
      <c r="A14" s="327" t="s">
        <v>240</v>
      </c>
      <c r="B14" s="309"/>
      <c r="C14" s="310">
        <v>0.2</v>
      </c>
      <c r="D14" s="312"/>
      <c r="E14" s="312"/>
      <c r="F14" s="312"/>
    </row>
    <row r="16" spans="1:6" x14ac:dyDescent="0.35">
      <c r="A16" s="1" t="s">
        <v>61</v>
      </c>
      <c r="B16" s="171" t="s">
        <v>62</v>
      </c>
      <c r="C16" s="2"/>
    </row>
    <row r="18" spans="1:13" x14ac:dyDescent="0.35">
      <c r="B18" s="415" t="s">
        <v>310</v>
      </c>
      <c r="C18" s="416"/>
      <c r="D18" s="416"/>
      <c r="E18" s="416"/>
      <c r="F18" s="416"/>
      <c r="G18" s="416"/>
      <c r="H18" s="416"/>
      <c r="I18" s="416"/>
      <c r="J18" s="416"/>
      <c r="K18" s="416"/>
      <c r="L18" s="416"/>
      <c r="M18" s="417"/>
    </row>
    <row r="19" spans="1:13" x14ac:dyDescent="0.35">
      <c r="B19" s="4">
        <v>8</v>
      </c>
      <c r="C19" s="4">
        <v>7</v>
      </c>
      <c r="D19" s="4">
        <v>6</v>
      </c>
      <c r="E19" s="4">
        <v>5</v>
      </c>
      <c r="F19" s="4">
        <v>4</v>
      </c>
      <c r="G19" s="4">
        <v>3</v>
      </c>
      <c r="H19" s="4">
        <v>2</v>
      </c>
      <c r="I19" s="4">
        <v>1</v>
      </c>
      <c r="J19" s="4" t="s">
        <v>128</v>
      </c>
      <c r="K19" s="4" t="s">
        <v>129</v>
      </c>
      <c r="L19" s="4" t="s">
        <v>130</v>
      </c>
      <c r="M19" s="4" t="s">
        <v>131</v>
      </c>
    </row>
    <row r="20" spans="1:13" x14ac:dyDescent="0.35">
      <c r="A20" s="195" t="s">
        <v>169</v>
      </c>
      <c r="B20" s="188">
        <v>7.1428571428571425E-2</v>
      </c>
      <c r="C20" s="188">
        <v>0.14583333333333334</v>
      </c>
      <c r="D20" s="188">
        <v>0.12162162162162163</v>
      </c>
      <c r="E20" s="188">
        <v>7.2727272727272724E-2</v>
      </c>
      <c r="F20" s="188">
        <v>7.5949367088607597E-2</v>
      </c>
      <c r="G20" s="188">
        <v>9.3023255813953487E-2</v>
      </c>
      <c r="H20" s="188">
        <v>5.5555555555555552E-2</v>
      </c>
      <c r="I20" s="188">
        <v>9.0909090909090912E-2</v>
      </c>
      <c r="J20" s="188">
        <v>0.125</v>
      </c>
      <c r="K20" s="188">
        <v>0</v>
      </c>
      <c r="L20" s="188">
        <v>0</v>
      </c>
      <c r="M20" s="188">
        <v>0</v>
      </c>
    </row>
    <row r="21" spans="1:13" x14ac:dyDescent="0.35">
      <c r="A21" s="195" t="s">
        <v>170</v>
      </c>
      <c r="B21" s="188">
        <v>0.88095238095238093</v>
      </c>
      <c r="C21" s="287">
        <v>0.81944444444444442</v>
      </c>
      <c r="D21" s="287">
        <v>0.81081081081081086</v>
      </c>
      <c r="E21" s="287">
        <v>0.87272727272727268</v>
      </c>
      <c r="F21" s="287">
        <v>0.87341772151898733</v>
      </c>
      <c r="G21" s="287">
        <v>0.88372093023255816</v>
      </c>
      <c r="H21" s="287">
        <v>0.77777777777777779</v>
      </c>
      <c r="I21" s="287">
        <v>0.81818181818181823</v>
      </c>
      <c r="J21" s="287">
        <v>0.625</v>
      </c>
      <c r="K21" s="287">
        <v>1</v>
      </c>
      <c r="L21" s="287">
        <v>0.75</v>
      </c>
      <c r="M21" s="287">
        <v>1</v>
      </c>
    </row>
    <row r="22" spans="1:13" ht="29" x14ac:dyDescent="0.35">
      <c r="A22" s="195" t="s">
        <v>171</v>
      </c>
      <c r="B22" s="188">
        <v>4.7619047619047616E-2</v>
      </c>
      <c r="C22" s="188">
        <v>3.4722222222222224E-2</v>
      </c>
      <c r="D22" s="188">
        <v>6.7567567567567571E-2</v>
      </c>
      <c r="E22" s="188">
        <v>5.4545454545454543E-2</v>
      </c>
      <c r="F22" s="188">
        <v>5.0632911392405063E-2</v>
      </c>
      <c r="G22" s="188">
        <v>2.3255813953488372E-2</v>
      </c>
      <c r="H22" s="188">
        <v>0.16666666666666666</v>
      </c>
      <c r="I22" s="188">
        <v>9.0909090909090912E-2</v>
      </c>
      <c r="J22" s="188">
        <v>0.25</v>
      </c>
      <c r="K22" s="188">
        <v>0</v>
      </c>
      <c r="L22" s="188">
        <v>0.25</v>
      </c>
      <c r="M22" s="188">
        <v>0</v>
      </c>
    </row>
    <row r="23" spans="1:13" x14ac:dyDescent="0.35">
      <c r="B23" s="26"/>
    </row>
    <row r="24" spans="1:13" x14ac:dyDescent="0.35">
      <c r="A24" s="1" t="s">
        <v>63</v>
      </c>
      <c r="B24" s="171" t="s">
        <v>64</v>
      </c>
    </row>
    <row r="26" spans="1:13" x14ac:dyDescent="0.35">
      <c r="A26" s="258"/>
      <c r="B26" s="418" t="s">
        <v>185</v>
      </c>
      <c r="C26" s="418"/>
      <c r="D26" s="418"/>
      <c r="E26" s="418" t="s">
        <v>184</v>
      </c>
      <c r="F26" s="418"/>
      <c r="G26" s="418"/>
      <c r="H26" s="353" t="s">
        <v>186</v>
      </c>
      <c r="I26" s="353"/>
      <c r="J26" s="353"/>
      <c r="K26" s="353" t="s">
        <v>171</v>
      </c>
      <c r="L26" s="353"/>
      <c r="M26" s="353"/>
    </row>
    <row r="27" spans="1:13" ht="115" customHeight="1" x14ac:dyDescent="0.35">
      <c r="A27" s="161" t="s">
        <v>247</v>
      </c>
      <c r="B27" s="155" t="s">
        <v>307</v>
      </c>
      <c r="C27" s="155" t="s">
        <v>311</v>
      </c>
      <c r="D27" s="155" t="s">
        <v>309</v>
      </c>
      <c r="E27" s="155" t="s">
        <v>307</v>
      </c>
      <c r="F27" s="155" t="s">
        <v>311</v>
      </c>
      <c r="G27" s="155" t="s">
        <v>309</v>
      </c>
      <c r="H27" s="121" t="s">
        <v>312</v>
      </c>
      <c r="I27" s="121" t="s">
        <v>313</v>
      </c>
      <c r="J27" s="121" t="s">
        <v>314</v>
      </c>
      <c r="K27" s="121" t="s">
        <v>312</v>
      </c>
      <c r="L27" s="121" t="s">
        <v>313</v>
      </c>
      <c r="M27" s="121" t="s">
        <v>314</v>
      </c>
    </row>
    <row r="28" spans="1:13" x14ac:dyDescent="0.35">
      <c r="A28" s="3">
        <v>43555</v>
      </c>
      <c r="B28" s="184">
        <v>2.1</v>
      </c>
      <c r="C28" s="184">
        <v>34.299999999999997</v>
      </c>
      <c r="D28" s="184">
        <v>21.3</v>
      </c>
      <c r="E28" s="184">
        <v>3.8</v>
      </c>
      <c r="F28" s="184">
        <v>24.7</v>
      </c>
      <c r="G28" s="184">
        <v>13.8</v>
      </c>
      <c r="H28" s="219"/>
      <c r="I28" s="219"/>
      <c r="J28" s="219"/>
      <c r="K28" s="219"/>
      <c r="L28" s="219"/>
      <c r="M28" s="219"/>
    </row>
    <row r="29" spans="1:13" x14ac:dyDescent="0.35">
      <c r="A29" s="3">
        <v>43921</v>
      </c>
      <c r="B29" s="184">
        <v>3</v>
      </c>
      <c r="C29" s="184">
        <v>30.2</v>
      </c>
      <c r="D29" s="184">
        <v>22.7</v>
      </c>
      <c r="E29" s="184">
        <v>3.9</v>
      </c>
      <c r="F29" s="184">
        <v>24.2</v>
      </c>
      <c r="G29" s="184">
        <v>16</v>
      </c>
      <c r="H29" s="219"/>
      <c r="I29" s="219"/>
      <c r="J29" s="219"/>
      <c r="K29" s="219"/>
      <c r="L29" s="219"/>
      <c r="M29" s="219"/>
    </row>
    <row r="30" spans="1:13" x14ac:dyDescent="0.35">
      <c r="A30" s="3">
        <v>44286</v>
      </c>
      <c r="B30" s="184">
        <v>2.6</v>
      </c>
      <c r="C30" s="184">
        <v>28.3</v>
      </c>
      <c r="D30" s="184">
        <v>25.5</v>
      </c>
      <c r="E30" s="184">
        <v>3.4</v>
      </c>
      <c r="F30" s="184">
        <v>21.9</v>
      </c>
      <c r="G30" s="184">
        <v>18.2</v>
      </c>
      <c r="H30" s="219"/>
      <c r="I30" s="219"/>
      <c r="J30" s="219"/>
      <c r="K30" s="219"/>
      <c r="L30" s="219"/>
      <c r="M30" s="219"/>
    </row>
    <row r="31" spans="1:13" x14ac:dyDescent="0.35">
      <c r="A31" s="3">
        <v>44651</v>
      </c>
      <c r="B31" s="184">
        <v>3.1</v>
      </c>
      <c r="C31" s="184">
        <v>25.9</v>
      </c>
      <c r="D31" s="184">
        <v>28.7</v>
      </c>
      <c r="E31" s="184">
        <v>3.3</v>
      </c>
      <c r="F31" s="184">
        <v>19.2</v>
      </c>
      <c r="G31" s="184">
        <v>19.7</v>
      </c>
      <c r="H31" s="219"/>
      <c r="I31" s="219"/>
      <c r="J31" s="219"/>
      <c r="K31" s="219"/>
      <c r="L31" s="219"/>
      <c r="M31" s="219"/>
    </row>
    <row r="32" spans="1:13" x14ac:dyDescent="0.35">
      <c r="A32" s="3">
        <v>45016</v>
      </c>
      <c r="B32" s="184">
        <v>3.1</v>
      </c>
      <c r="C32" s="184">
        <v>22.7</v>
      </c>
      <c r="D32" s="184">
        <v>31.8</v>
      </c>
      <c r="E32" s="184">
        <v>2.9</v>
      </c>
      <c r="F32" s="184">
        <v>17.8</v>
      </c>
      <c r="G32" s="184">
        <v>21.7</v>
      </c>
      <c r="H32" s="219"/>
      <c r="I32" s="219"/>
      <c r="J32" s="219"/>
      <c r="K32" s="219"/>
      <c r="L32" s="219"/>
      <c r="M32" s="219"/>
    </row>
    <row r="33" spans="1:24" x14ac:dyDescent="0.35">
      <c r="A33" s="3">
        <v>45382</v>
      </c>
      <c r="B33" s="120">
        <v>7.04</v>
      </c>
      <c r="C33" s="120">
        <v>47</v>
      </c>
      <c r="D33" s="120">
        <v>2.2799999999999998</v>
      </c>
      <c r="E33" s="120">
        <v>3.73</v>
      </c>
      <c r="F33" s="120">
        <v>34.78</v>
      </c>
      <c r="G33" s="120">
        <v>1.45</v>
      </c>
      <c r="H33" s="120">
        <v>0.62</v>
      </c>
      <c r="I33" s="120">
        <v>0.21</v>
      </c>
      <c r="J33" s="120">
        <v>0</v>
      </c>
      <c r="K33" s="120">
        <v>0</v>
      </c>
      <c r="L33" s="120">
        <v>1.04</v>
      </c>
      <c r="M33" s="120">
        <v>1.86</v>
      </c>
    </row>
    <row r="34" spans="1:24" x14ac:dyDescent="0.35">
      <c r="A34" s="3">
        <v>45672</v>
      </c>
      <c r="B34" s="120">
        <v>6.19</v>
      </c>
      <c r="C34" s="120">
        <v>48.04</v>
      </c>
      <c r="D34" s="120">
        <v>2.27</v>
      </c>
      <c r="E34" s="120">
        <v>3.71</v>
      </c>
      <c r="F34" s="120">
        <v>35.46</v>
      </c>
      <c r="G34" s="120">
        <v>1.44</v>
      </c>
      <c r="H34" s="122">
        <v>0.41</v>
      </c>
      <c r="I34" s="122">
        <v>0</v>
      </c>
      <c r="J34" s="122">
        <v>0</v>
      </c>
      <c r="K34" s="122">
        <v>0</v>
      </c>
      <c r="L34" s="122">
        <v>0.62</v>
      </c>
      <c r="M34" s="122">
        <v>1.86</v>
      </c>
    </row>
    <row r="35" spans="1:24" x14ac:dyDescent="0.35">
      <c r="E35" s="288"/>
    </row>
    <row r="36" spans="1:24" x14ac:dyDescent="0.35">
      <c r="A36" s="1" t="s">
        <v>65</v>
      </c>
      <c r="B36" t="s">
        <v>66</v>
      </c>
      <c r="K36" s="10"/>
      <c r="X36" s="43"/>
    </row>
    <row r="37" spans="1:24" x14ac:dyDescent="0.35">
      <c r="B37" s="288"/>
    </row>
    <row r="38" spans="1:24" x14ac:dyDescent="0.35">
      <c r="A38" s="412" t="s">
        <v>126</v>
      </c>
      <c r="B38" s="413"/>
      <c r="C38" s="413"/>
      <c r="D38" s="414"/>
    </row>
    <row r="39" spans="1:24" ht="29" x14ac:dyDescent="0.35">
      <c r="A39" s="5" t="s">
        <v>191</v>
      </c>
      <c r="B39" s="195" t="s">
        <v>169</v>
      </c>
      <c r="C39" s="195" t="s">
        <v>170</v>
      </c>
      <c r="D39" s="195" t="s">
        <v>171</v>
      </c>
    </row>
    <row r="40" spans="1:24" x14ac:dyDescent="0.35">
      <c r="A40" s="5" t="s">
        <v>163</v>
      </c>
      <c r="B40" s="195">
        <v>0.11764705882352941</v>
      </c>
      <c r="C40" s="188">
        <v>0.88235294117647056</v>
      </c>
      <c r="D40" s="188">
        <v>0</v>
      </c>
    </row>
    <row r="41" spans="1:24" x14ac:dyDescent="0.35">
      <c r="A41" s="5" t="s">
        <v>164</v>
      </c>
      <c r="B41" s="195">
        <v>8.1632653061224483E-2</v>
      </c>
      <c r="C41" s="188">
        <v>0.89795918367346939</v>
      </c>
      <c r="D41" s="188">
        <v>2.0408163265306121E-2</v>
      </c>
    </row>
    <row r="42" spans="1:24" x14ac:dyDescent="0.35">
      <c r="A42" s="5" t="s">
        <v>165</v>
      </c>
      <c r="B42" s="195">
        <v>8.3333333333333329E-2</v>
      </c>
      <c r="C42" s="188">
        <v>0.87121212121212122</v>
      </c>
      <c r="D42" s="188">
        <v>4.5454545454545456E-2</v>
      </c>
    </row>
    <row r="43" spans="1:24" x14ac:dyDescent="0.35">
      <c r="A43" s="5" t="s">
        <v>166</v>
      </c>
      <c r="B43" s="195">
        <v>7.1428571428571425E-2</v>
      </c>
      <c r="C43" s="188">
        <v>0.8214285714285714</v>
      </c>
      <c r="D43" s="188">
        <v>0.10714285714285714</v>
      </c>
    </row>
    <row r="44" spans="1:24" x14ac:dyDescent="0.35">
      <c r="A44" s="5" t="s">
        <v>167</v>
      </c>
      <c r="B44" s="195">
        <v>0.17142857142857143</v>
      </c>
      <c r="C44" s="188">
        <v>0.76190476190476186</v>
      </c>
      <c r="D44" s="188">
        <v>6.6666666666666666E-2</v>
      </c>
    </row>
    <row r="45" spans="1:24" x14ac:dyDescent="0.35">
      <c r="A45" s="5" t="s">
        <v>168</v>
      </c>
      <c r="B45" s="195">
        <v>0.14285714285714285</v>
      </c>
      <c r="C45" s="188">
        <v>0.8571428571428571</v>
      </c>
      <c r="D45" s="188">
        <v>0</v>
      </c>
    </row>
    <row r="47" spans="1:24" x14ac:dyDescent="0.35">
      <c r="A47" s="1" t="s">
        <v>67</v>
      </c>
      <c r="B47" t="s">
        <v>68</v>
      </c>
    </row>
    <row r="49" spans="1:12" x14ac:dyDescent="0.35">
      <c r="A49" s="356" t="s">
        <v>114</v>
      </c>
      <c r="B49" s="411" t="s">
        <v>315</v>
      </c>
      <c r="C49" s="353" t="s">
        <v>115</v>
      </c>
      <c r="D49" s="353"/>
      <c r="E49" s="353"/>
      <c r="F49" s="353" t="s">
        <v>138</v>
      </c>
      <c r="G49" s="353"/>
      <c r="H49" s="353"/>
      <c r="I49" s="353" t="s">
        <v>196</v>
      </c>
      <c r="J49" s="353"/>
      <c r="K49" s="353"/>
      <c r="L49" s="355" t="s">
        <v>316</v>
      </c>
    </row>
    <row r="50" spans="1:12" ht="43.5" x14ac:dyDescent="0.35">
      <c r="A50" s="356"/>
      <c r="B50" s="411"/>
      <c r="C50" s="121" t="s">
        <v>317</v>
      </c>
      <c r="D50" s="121" t="s">
        <v>318</v>
      </c>
      <c r="E50" s="121" t="s">
        <v>246</v>
      </c>
      <c r="F50" s="121" t="s">
        <v>317</v>
      </c>
      <c r="G50" s="121" t="s">
        <v>170</v>
      </c>
      <c r="H50" s="121" t="s">
        <v>319</v>
      </c>
      <c r="I50" s="121" t="s">
        <v>317</v>
      </c>
      <c r="J50" s="121" t="s">
        <v>170</v>
      </c>
      <c r="K50" s="121" t="s">
        <v>319</v>
      </c>
      <c r="L50" s="355"/>
    </row>
    <row r="51" spans="1:12" x14ac:dyDescent="0.35">
      <c r="A51" s="339">
        <v>44286</v>
      </c>
      <c r="B51" s="35">
        <f>194+2324</f>
        <v>2518</v>
      </c>
      <c r="C51" s="35">
        <v>194</v>
      </c>
      <c r="D51" s="35">
        <v>2324</v>
      </c>
      <c r="E51" s="340" t="s">
        <v>266</v>
      </c>
      <c r="F51" s="35">
        <v>11</v>
      </c>
      <c r="G51" s="35">
        <v>151</v>
      </c>
      <c r="H51" s="340">
        <v>0</v>
      </c>
      <c r="I51" s="340">
        <v>0</v>
      </c>
      <c r="J51" s="35">
        <v>31</v>
      </c>
      <c r="K51" s="340">
        <v>0</v>
      </c>
      <c r="L51" s="341">
        <v>0</v>
      </c>
    </row>
    <row r="52" spans="1:12" x14ac:dyDescent="0.35">
      <c r="A52" s="3">
        <v>44651</v>
      </c>
      <c r="B52" s="4">
        <f>66+630+256</f>
        <v>952</v>
      </c>
      <c r="C52" s="4">
        <v>66</v>
      </c>
      <c r="D52" s="4">
        <v>630</v>
      </c>
      <c r="E52" s="13">
        <v>256</v>
      </c>
      <c r="F52" s="4">
        <v>6</v>
      </c>
      <c r="G52" s="4">
        <v>105</v>
      </c>
      <c r="H52" s="4">
        <v>85</v>
      </c>
      <c r="I52" s="4">
        <v>1</v>
      </c>
      <c r="J52" s="4">
        <v>34</v>
      </c>
      <c r="K52" s="4">
        <v>24</v>
      </c>
      <c r="L52" s="152">
        <f>1/59</f>
        <v>1.6949152542372881E-2</v>
      </c>
    </row>
    <row r="53" spans="1:12" x14ac:dyDescent="0.35">
      <c r="A53" s="3">
        <v>45016</v>
      </c>
      <c r="B53" s="4">
        <f>123+1114+246</f>
        <v>1483</v>
      </c>
      <c r="C53" s="4">
        <v>123</v>
      </c>
      <c r="D53" s="4">
        <v>1114</v>
      </c>
      <c r="E53" s="4">
        <v>246</v>
      </c>
      <c r="F53" s="4">
        <v>21</v>
      </c>
      <c r="G53" s="4">
        <v>219</v>
      </c>
      <c r="H53" s="4">
        <v>49</v>
      </c>
      <c r="I53" s="4">
        <v>2</v>
      </c>
      <c r="J53" s="4">
        <v>65</v>
      </c>
      <c r="K53" s="4">
        <v>10</v>
      </c>
      <c r="L53" s="152">
        <f>2/77</f>
        <v>2.5974025974025976E-2</v>
      </c>
    </row>
    <row r="54" spans="1:12" x14ac:dyDescent="0.35">
      <c r="A54" s="3">
        <v>45382</v>
      </c>
      <c r="B54" s="4">
        <f>C54+D54+E54</f>
        <v>2583</v>
      </c>
      <c r="C54" s="4">
        <v>132</v>
      </c>
      <c r="D54" s="4">
        <v>2059</v>
      </c>
      <c r="E54" s="4">
        <v>392</v>
      </c>
      <c r="F54" s="4">
        <v>37</v>
      </c>
      <c r="G54" s="4">
        <v>350</v>
      </c>
      <c r="H54" s="4">
        <v>71</v>
      </c>
      <c r="I54" s="4">
        <v>5</v>
      </c>
      <c r="J54" s="4">
        <v>43</v>
      </c>
      <c r="K54" s="4">
        <v>13</v>
      </c>
      <c r="L54" s="152">
        <f>5/61</f>
        <v>8.1967213114754092E-2</v>
      </c>
    </row>
    <row r="55" spans="1:12" x14ac:dyDescent="0.35">
      <c r="A55" s="3" t="s">
        <v>125</v>
      </c>
      <c r="B55" s="4">
        <v>4999</v>
      </c>
      <c r="C55" s="4">
        <v>556</v>
      </c>
      <c r="D55" s="4">
        <v>4107</v>
      </c>
      <c r="E55" s="4">
        <v>336</v>
      </c>
      <c r="F55" s="4">
        <v>86</v>
      </c>
      <c r="G55" s="4">
        <v>657</v>
      </c>
      <c r="H55" s="4">
        <v>46</v>
      </c>
      <c r="I55" s="4">
        <v>8</v>
      </c>
      <c r="J55" s="4">
        <v>71</v>
      </c>
      <c r="K55" s="4">
        <v>4</v>
      </c>
      <c r="L55" s="152">
        <f>8/83</f>
        <v>9.6385542168674704E-2</v>
      </c>
    </row>
    <row r="57" spans="1:12" x14ac:dyDescent="0.35">
      <c r="A57" s="1" t="s">
        <v>69</v>
      </c>
      <c r="B57" t="s">
        <v>70</v>
      </c>
    </row>
    <row r="59" spans="1:12" x14ac:dyDescent="0.35">
      <c r="A59" s="284"/>
      <c r="B59" s="419" t="s">
        <v>320</v>
      </c>
      <c r="C59" s="419"/>
      <c r="D59" s="419"/>
    </row>
    <row r="60" spans="1:12" ht="29" x14ac:dyDescent="0.35">
      <c r="A60" s="4"/>
      <c r="B60" s="280" t="s">
        <v>317</v>
      </c>
      <c r="C60" s="280" t="s">
        <v>170</v>
      </c>
      <c r="D60" s="280" t="s">
        <v>171</v>
      </c>
    </row>
    <row r="61" spans="1:12" x14ac:dyDescent="0.35">
      <c r="A61" s="4" t="s">
        <v>198</v>
      </c>
      <c r="B61" s="5">
        <f>2/19</f>
        <v>0.10526315789473684</v>
      </c>
      <c r="C61" s="289">
        <f>13/19</f>
        <v>0.68421052631578949</v>
      </c>
      <c r="D61" s="5">
        <f>4/19</f>
        <v>0.21052631578947367</v>
      </c>
    </row>
    <row r="62" spans="1:12" x14ac:dyDescent="0.35">
      <c r="A62" s="4" t="s">
        <v>202</v>
      </c>
      <c r="B62" s="5">
        <f>1/15</f>
        <v>6.6666666666666666E-2</v>
      </c>
      <c r="C62" s="5">
        <f>7/15</f>
        <v>0.46666666666666667</v>
      </c>
      <c r="D62" s="5">
        <f>7/15</f>
        <v>0.46666666666666667</v>
      </c>
    </row>
    <row r="64" spans="1:12" x14ac:dyDescent="0.35">
      <c r="A64" s="1" t="s">
        <v>71</v>
      </c>
      <c r="B64" t="s">
        <v>72</v>
      </c>
    </row>
    <row r="66" spans="1:10" ht="39" customHeight="1" x14ac:dyDescent="0.35">
      <c r="A66" s="380" t="s">
        <v>247</v>
      </c>
      <c r="B66" s="380" t="s">
        <v>321</v>
      </c>
      <c r="C66" s="380" t="s">
        <v>322</v>
      </c>
      <c r="D66" s="380" t="s">
        <v>171</v>
      </c>
      <c r="E66" s="380" t="s">
        <v>158</v>
      </c>
    </row>
    <row r="67" spans="1:10" ht="33.65" customHeight="1" x14ac:dyDescent="0.35">
      <c r="A67" s="380"/>
      <c r="B67" s="380"/>
      <c r="C67" s="380"/>
      <c r="D67" s="380"/>
      <c r="E67" s="380"/>
    </row>
    <row r="68" spans="1:10" x14ac:dyDescent="0.35">
      <c r="A68" s="3">
        <v>43921</v>
      </c>
      <c r="B68" s="184">
        <v>27</v>
      </c>
      <c r="C68" s="184">
        <v>166</v>
      </c>
      <c r="D68" s="184">
        <v>152</v>
      </c>
      <c r="E68" s="184">
        <v>345</v>
      </c>
    </row>
    <row r="69" spans="1:10" x14ac:dyDescent="0.35">
      <c r="A69" s="3">
        <v>44286</v>
      </c>
      <c r="B69" s="184">
        <v>24</v>
      </c>
      <c r="C69" s="184">
        <v>147</v>
      </c>
      <c r="D69" s="184">
        <v>137</v>
      </c>
      <c r="E69" s="184">
        <v>308</v>
      </c>
    </row>
    <row r="70" spans="1:10" x14ac:dyDescent="0.35">
      <c r="A70" s="3">
        <v>44651</v>
      </c>
      <c r="B70" s="184">
        <v>25</v>
      </c>
      <c r="C70" s="184">
        <v>95</v>
      </c>
      <c r="D70" s="184">
        <v>134</v>
      </c>
      <c r="E70" s="184">
        <v>254</v>
      </c>
    </row>
    <row r="71" spans="1:10" x14ac:dyDescent="0.35">
      <c r="A71" s="3">
        <v>45016</v>
      </c>
      <c r="B71" s="184">
        <v>14</v>
      </c>
      <c r="C71" s="184">
        <v>117</v>
      </c>
      <c r="D71" s="184">
        <v>169</v>
      </c>
      <c r="E71" s="184">
        <v>300</v>
      </c>
    </row>
    <row r="72" spans="1:10" x14ac:dyDescent="0.35">
      <c r="A72" s="3">
        <v>45382</v>
      </c>
      <c r="B72" s="4">
        <v>47</v>
      </c>
      <c r="C72" s="4">
        <v>369</v>
      </c>
      <c r="D72" s="4">
        <v>23</v>
      </c>
      <c r="E72" s="4">
        <v>439</v>
      </c>
    </row>
    <row r="73" spans="1:10" x14ac:dyDescent="0.35">
      <c r="A73" s="3">
        <v>45672</v>
      </c>
      <c r="B73" s="4">
        <v>33</v>
      </c>
      <c r="C73" s="4">
        <v>232</v>
      </c>
      <c r="D73" s="4">
        <v>10</v>
      </c>
      <c r="E73" s="4">
        <v>275</v>
      </c>
    </row>
    <row r="75" spans="1:10" ht="34" customHeight="1" x14ac:dyDescent="0.35">
      <c r="A75" s="43" t="s">
        <v>73</v>
      </c>
      <c r="B75" s="405" t="s">
        <v>74</v>
      </c>
      <c r="C75" s="405"/>
      <c r="D75" s="405"/>
      <c r="E75" s="405"/>
    </row>
    <row r="76" spans="1:10" ht="13.5" customHeight="1" x14ac:dyDescent="0.35">
      <c r="A76" s="43"/>
      <c r="B76" s="277"/>
      <c r="C76" s="277"/>
      <c r="D76" s="277"/>
      <c r="E76" s="277"/>
    </row>
    <row r="77" spans="1:10" x14ac:dyDescent="0.35">
      <c r="A77" s="353" t="s">
        <v>126</v>
      </c>
      <c r="B77" s="353"/>
      <c r="C77" s="353"/>
    </row>
    <row r="78" spans="1:10" ht="29" x14ac:dyDescent="0.35">
      <c r="A78" s="290" t="s">
        <v>323</v>
      </c>
      <c r="B78" s="291" t="s">
        <v>115</v>
      </c>
      <c r="C78" s="291" t="s">
        <v>324</v>
      </c>
      <c r="D78" s="292"/>
      <c r="E78" s="292"/>
      <c r="F78" s="292"/>
      <c r="G78" s="292"/>
      <c r="I78" s="292"/>
      <c r="J78" s="292"/>
    </row>
    <row r="79" spans="1:10" x14ac:dyDescent="0.35">
      <c r="A79" s="290" t="s">
        <v>325</v>
      </c>
      <c r="B79" s="293">
        <v>42</v>
      </c>
      <c r="C79" s="294">
        <f>42/55</f>
        <v>0.76363636363636367</v>
      </c>
      <c r="D79" s="292"/>
      <c r="E79" s="292"/>
      <c r="F79" s="292"/>
      <c r="G79" s="292"/>
      <c r="I79" s="295"/>
      <c r="J79" s="295"/>
    </row>
    <row r="80" spans="1:10" ht="29" x14ac:dyDescent="0.35">
      <c r="A80" s="290" t="s">
        <v>171</v>
      </c>
      <c r="B80" s="293">
        <v>4</v>
      </c>
      <c r="C80" s="294">
        <f>4/55</f>
        <v>7.2727272727272724E-2</v>
      </c>
      <c r="D80" s="292"/>
      <c r="E80" s="292"/>
      <c r="F80" s="292"/>
      <c r="G80" s="292"/>
      <c r="I80" s="295"/>
      <c r="J80" s="295"/>
    </row>
    <row r="81" spans="1:10" x14ac:dyDescent="0.35">
      <c r="A81" s="290" t="s">
        <v>326</v>
      </c>
      <c r="B81" s="293">
        <v>9</v>
      </c>
      <c r="C81" s="294">
        <f>9/55</f>
        <v>0.16363636363636364</v>
      </c>
      <c r="D81" s="292"/>
      <c r="E81" s="292"/>
      <c r="F81" s="292"/>
      <c r="G81" s="292"/>
      <c r="I81" s="295"/>
      <c r="J81" s="295"/>
    </row>
    <row r="83" spans="1:10" x14ac:dyDescent="0.35">
      <c r="A83" s="354" t="s">
        <v>159</v>
      </c>
      <c r="B83" s="354"/>
      <c r="C83" s="354"/>
      <c r="D83" s="354"/>
      <c r="E83" s="354"/>
    </row>
    <row r="84" spans="1:10" x14ac:dyDescent="0.35">
      <c r="A84" s="350" t="s">
        <v>160</v>
      </c>
      <c r="B84" s="350"/>
      <c r="C84" s="350"/>
      <c r="D84" s="350"/>
      <c r="E84" s="350"/>
    </row>
    <row r="85" spans="1:10" x14ac:dyDescent="0.35">
      <c r="A85" s="351"/>
      <c r="B85" s="351"/>
      <c r="C85" s="351"/>
      <c r="D85" s="351"/>
      <c r="E85" s="351"/>
    </row>
  </sheetData>
  <sheetProtection algorithmName="SHA-512" hashValue="zmUocyIFuU4Ux6KTUUdsrh7UDCnzmCZ4zpMeHv1zk5+9K6VgfeNWH1ZHDg+IJpaT4s9prOP0pLNtfeCtkyWDLQ==" saltValue="iFBSYC8wSugYoy6fNz3YCA==" spinCount="100000" sheet="1" formatCells="0" formatColumns="0" formatRows="0" insertColumns="0" insertRows="0" insertHyperlinks="0" deleteColumns="0" deleteRows="0" sort="0" autoFilter="0" pivotTables="0"/>
  <mergeCells count="23">
    <mergeCell ref="B59:D59"/>
    <mergeCell ref="A66:A67"/>
    <mergeCell ref="B66:B67"/>
    <mergeCell ref="C66:C67"/>
    <mergeCell ref="E66:E67"/>
    <mergeCell ref="D66:D67"/>
    <mergeCell ref="H26:J26"/>
    <mergeCell ref="K26:M26"/>
    <mergeCell ref="A38:D38"/>
    <mergeCell ref="B18:M18"/>
    <mergeCell ref="B26:D26"/>
    <mergeCell ref="E26:G26"/>
    <mergeCell ref="A77:C77"/>
    <mergeCell ref="A83:E83"/>
    <mergeCell ref="A84:E84"/>
    <mergeCell ref="A85:E85"/>
    <mergeCell ref="B75:E75"/>
    <mergeCell ref="I49:K49"/>
    <mergeCell ref="L49:L50"/>
    <mergeCell ref="A49:A50"/>
    <mergeCell ref="B49:B50"/>
    <mergeCell ref="C49:E49"/>
    <mergeCell ref="F49:H4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43106-123B-48A3-8506-DB10957EDA21}">
  <dimension ref="A1:P80"/>
  <sheetViews>
    <sheetView showGridLines="0" topLeftCell="A62" zoomScale="80" zoomScaleNormal="80" workbookViewId="0"/>
  </sheetViews>
  <sheetFormatPr defaultRowHeight="14.5" x14ac:dyDescent="0.35"/>
  <cols>
    <col min="1" max="1" width="28.54296875" customWidth="1"/>
    <col min="2" max="2" width="21.26953125" style="11" customWidth="1"/>
    <col min="3" max="3" width="11.1796875" style="11" customWidth="1"/>
    <col min="4" max="4" width="12.1796875" style="11" customWidth="1"/>
    <col min="5" max="5" width="11.81640625" style="11" customWidth="1"/>
    <col min="6" max="6" width="11.54296875" style="11" bestFit="1" customWidth="1"/>
    <col min="7" max="7" width="10.81640625" style="11" customWidth="1"/>
    <col min="8" max="8" width="11.54296875" style="11" customWidth="1"/>
    <col min="9" max="9" width="9.81640625" customWidth="1"/>
    <col min="11" max="11" width="11.81640625" customWidth="1"/>
    <col min="12" max="13" width="10.54296875" customWidth="1"/>
    <col min="14" max="14" width="12.1796875" customWidth="1"/>
    <col min="15" max="15" width="10.453125" customWidth="1"/>
  </cols>
  <sheetData>
    <row r="1" spans="1:8" x14ac:dyDescent="0.35">
      <c r="A1" s="6" t="s">
        <v>327</v>
      </c>
      <c r="B1"/>
      <c r="C1"/>
      <c r="D1"/>
      <c r="E1"/>
      <c r="F1"/>
      <c r="G1"/>
      <c r="H1"/>
    </row>
    <row r="2" spans="1:8" x14ac:dyDescent="0.35">
      <c r="A2" s="6"/>
      <c r="B2"/>
      <c r="C2"/>
      <c r="D2"/>
      <c r="E2"/>
      <c r="F2"/>
      <c r="G2"/>
      <c r="H2"/>
    </row>
    <row r="3" spans="1:8" ht="14.5" customHeight="1" x14ac:dyDescent="0.35">
      <c r="A3" s="1" t="s">
        <v>76</v>
      </c>
      <c r="B3" s="157" t="s">
        <v>77</v>
      </c>
      <c r="C3" s="157"/>
      <c r="D3" s="2"/>
      <c r="E3"/>
      <c r="F3"/>
      <c r="G3"/>
      <c r="H3"/>
    </row>
    <row r="5" spans="1:8" ht="58" x14ac:dyDescent="0.35">
      <c r="A5" s="3" t="s">
        <v>114</v>
      </c>
      <c r="B5" s="121" t="s">
        <v>328</v>
      </c>
      <c r="C5" s="121" t="s">
        <v>329</v>
      </c>
      <c r="D5" s="121" t="s">
        <v>330</v>
      </c>
      <c r="E5" s="121" t="s">
        <v>331</v>
      </c>
      <c r="F5" s="121" t="s">
        <v>332</v>
      </c>
    </row>
    <row r="6" spans="1:8" x14ac:dyDescent="0.35">
      <c r="A6" s="3">
        <v>43555</v>
      </c>
      <c r="B6" s="259">
        <v>0.55600000000000005</v>
      </c>
      <c r="C6" s="259">
        <v>1.4999999999999999E-2</v>
      </c>
      <c r="D6" s="259">
        <v>1.7000000000000001E-2</v>
      </c>
      <c r="E6" s="259">
        <v>4.0000000000000001E-3</v>
      </c>
      <c r="F6" s="259">
        <v>0.40799999999999997</v>
      </c>
    </row>
    <row r="7" spans="1:8" x14ac:dyDescent="0.35">
      <c r="A7" s="3">
        <v>43921</v>
      </c>
      <c r="B7" s="259">
        <v>0.56399999999999995</v>
      </c>
      <c r="C7" s="259">
        <v>8.0000000000000002E-3</v>
      </c>
      <c r="D7" s="259">
        <v>1.9E-2</v>
      </c>
      <c r="E7" s="259">
        <v>6.0000000000000001E-3</v>
      </c>
      <c r="F7" s="259">
        <v>0.40100000000000002</v>
      </c>
    </row>
    <row r="8" spans="1:8" x14ac:dyDescent="0.35">
      <c r="A8" s="3">
        <v>44286</v>
      </c>
      <c r="B8" s="259">
        <v>0.52800000000000002</v>
      </c>
      <c r="C8" s="259">
        <v>0.01</v>
      </c>
      <c r="D8" s="259">
        <v>1.7000000000000001E-2</v>
      </c>
      <c r="E8" s="259">
        <v>6.0000000000000001E-3</v>
      </c>
      <c r="F8" s="259">
        <v>0.437</v>
      </c>
    </row>
    <row r="9" spans="1:8" x14ac:dyDescent="0.35">
      <c r="A9" s="3">
        <v>44651</v>
      </c>
      <c r="B9" s="259">
        <v>0.54200000000000004</v>
      </c>
      <c r="C9" s="259">
        <v>1.2E-2</v>
      </c>
      <c r="D9" s="259">
        <v>1.7000000000000001E-2</v>
      </c>
      <c r="E9" s="259">
        <v>0.01</v>
      </c>
      <c r="F9" s="259">
        <v>0.41799999999999998</v>
      </c>
    </row>
    <row r="10" spans="1:8" x14ac:dyDescent="0.35">
      <c r="A10" s="3">
        <v>45016</v>
      </c>
      <c r="B10" s="259">
        <v>0.57499999999999996</v>
      </c>
      <c r="C10" s="259">
        <v>1.4E-2</v>
      </c>
      <c r="D10" s="259">
        <v>2.7E-2</v>
      </c>
      <c r="E10" s="259">
        <v>1.2E-2</v>
      </c>
      <c r="F10" s="259">
        <v>0.372</v>
      </c>
    </row>
    <row r="11" spans="1:8" x14ac:dyDescent="0.35">
      <c r="A11" s="3">
        <v>45382</v>
      </c>
      <c r="B11" s="259">
        <v>0.63149999999999995</v>
      </c>
      <c r="C11" s="259">
        <v>3.5200000000000002E-2</v>
      </c>
      <c r="D11" s="259">
        <v>6.2100000000000002E-2</v>
      </c>
      <c r="E11" s="259">
        <v>2.2800000000000001E-2</v>
      </c>
      <c r="F11" s="259">
        <v>0.24840000000000001</v>
      </c>
    </row>
    <row r="12" spans="1:8" x14ac:dyDescent="0.35">
      <c r="A12" s="3">
        <v>45672</v>
      </c>
      <c r="B12" s="259">
        <v>0.58140000000000003</v>
      </c>
      <c r="C12" s="259">
        <v>3.09E-2</v>
      </c>
      <c r="D12" s="259">
        <v>5.3600000000000002E-2</v>
      </c>
      <c r="E12" s="259">
        <v>2.06E-2</v>
      </c>
      <c r="F12" s="259">
        <v>0.31340000000000001</v>
      </c>
    </row>
    <row r="13" spans="1:8" x14ac:dyDescent="0.35">
      <c r="A13" s="284"/>
      <c r="B13" s="121"/>
      <c r="C13" s="121"/>
      <c r="D13" s="121"/>
      <c r="E13" s="121"/>
      <c r="F13" s="121"/>
    </row>
    <row r="14" spans="1:8" x14ac:dyDescent="0.35">
      <c r="A14" s="308" t="s">
        <v>240</v>
      </c>
      <c r="B14" s="309">
        <v>0.878</v>
      </c>
      <c r="C14" s="310">
        <v>1.7600000000000001E-2</v>
      </c>
      <c r="D14" s="310">
        <v>1.7600000000000001E-2</v>
      </c>
      <c r="E14" s="310">
        <v>5.1999999999999998E-3</v>
      </c>
      <c r="F14" s="310">
        <v>8.1500000000000003E-2</v>
      </c>
    </row>
    <row r="15" spans="1:8" x14ac:dyDescent="0.35">
      <c r="B15" s="311"/>
      <c r="C15" s="312"/>
      <c r="D15" s="312"/>
      <c r="E15" s="312"/>
      <c r="F15" s="312"/>
    </row>
    <row r="16" spans="1:8" x14ac:dyDescent="0.35">
      <c r="A16" s="1" t="s">
        <v>78</v>
      </c>
      <c r="B16" s="171" t="s">
        <v>79</v>
      </c>
      <c r="C16" s="2"/>
      <c r="D16" s="2"/>
      <c r="E16" s="312"/>
      <c r="F16" s="312"/>
    </row>
    <row r="18" spans="1:11" x14ac:dyDescent="0.35">
      <c r="A18" s="284"/>
      <c r="B18" s="406" t="s">
        <v>179</v>
      </c>
      <c r="C18" s="406"/>
      <c r="D18" s="406"/>
      <c r="E18" s="406"/>
      <c r="F18" s="353" t="s">
        <v>180</v>
      </c>
      <c r="G18" s="353"/>
      <c r="H18" s="353"/>
      <c r="I18" s="353"/>
    </row>
    <row r="19" spans="1:11" ht="29" x14ac:dyDescent="0.35">
      <c r="A19" s="67" t="s">
        <v>75</v>
      </c>
      <c r="B19" s="4" t="s">
        <v>184</v>
      </c>
      <c r="C19" s="4" t="s">
        <v>185</v>
      </c>
      <c r="D19" s="4" t="s">
        <v>186</v>
      </c>
      <c r="E19" s="121" t="s">
        <v>171</v>
      </c>
      <c r="F19" s="4" t="s">
        <v>184</v>
      </c>
      <c r="G19" s="4" t="s">
        <v>185</v>
      </c>
      <c r="H19" s="4" t="s">
        <v>186</v>
      </c>
      <c r="I19" s="121" t="s">
        <v>171</v>
      </c>
    </row>
    <row r="20" spans="1:11" x14ac:dyDescent="0.35">
      <c r="A20" s="284" t="s">
        <v>330</v>
      </c>
      <c r="B20" s="279">
        <v>1.0351966873706004E-2</v>
      </c>
      <c r="C20" s="279">
        <v>4.7619047619047616E-2</v>
      </c>
      <c r="D20" s="279">
        <v>4.140786749482402E-3</v>
      </c>
      <c r="E20" s="279">
        <v>0</v>
      </c>
      <c r="F20" s="279">
        <v>8.2474226804123713E-3</v>
      </c>
      <c r="G20" s="279">
        <v>4.536082474226804E-2</v>
      </c>
      <c r="H20" s="279">
        <v>0</v>
      </c>
      <c r="I20" s="279">
        <v>0</v>
      </c>
    </row>
    <row r="21" spans="1:11" x14ac:dyDescent="0.35">
      <c r="A21" s="67" t="s">
        <v>328</v>
      </c>
      <c r="B21" s="279">
        <v>0.27329192546583853</v>
      </c>
      <c r="C21" s="279">
        <v>0.35817805383022772</v>
      </c>
      <c r="D21" s="279">
        <v>0</v>
      </c>
      <c r="E21" s="279">
        <v>0</v>
      </c>
      <c r="F21" s="279">
        <v>0.2536082474226804</v>
      </c>
      <c r="G21" s="279">
        <v>0.32783505154639175</v>
      </c>
      <c r="H21" s="279">
        <v>0</v>
      </c>
      <c r="I21" s="279">
        <v>0</v>
      </c>
    </row>
    <row r="22" spans="1:11" x14ac:dyDescent="0.35">
      <c r="A22" s="284" t="s">
        <v>329</v>
      </c>
      <c r="B22" s="279">
        <v>1.2422360248447204E-2</v>
      </c>
      <c r="C22" s="279">
        <v>2.0703933747412008E-2</v>
      </c>
      <c r="D22" s="279">
        <v>0</v>
      </c>
      <c r="E22" s="279">
        <v>2.070393374741201E-3</v>
      </c>
      <c r="F22" s="279">
        <v>1.2371134020618556E-2</v>
      </c>
      <c r="G22" s="279">
        <v>1.8556701030927835E-2</v>
      </c>
      <c r="H22" s="279">
        <v>0</v>
      </c>
      <c r="I22" s="279">
        <v>0</v>
      </c>
    </row>
    <row r="23" spans="1:11" x14ac:dyDescent="0.35">
      <c r="A23" s="278" t="s">
        <v>331</v>
      </c>
      <c r="B23" s="279">
        <v>1.0351966873706004E-2</v>
      </c>
      <c r="C23" s="279">
        <v>8.2815734989648039E-3</v>
      </c>
      <c r="D23" s="279">
        <v>4.140786749482402E-3</v>
      </c>
      <c r="E23" s="279">
        <v>0</v>
      </c>
      <c r="F23" s="279">
        <v>1.0309278350515464E-2</v>
      </c>
      <c r="G23" s="279">
        <v>6.1855670103092781E-3</v>
      </c>
      <c r="H23" s="279">
        <v>4.1237113402061857E-3</v>
      </c>
      <c r="I23" s="279">
        <v>0</v>
      </c>
    </row>
    <row r="24" spans="1:11" x14ac:dyDescent="0.35">
      <c r="A24" s="278" t="s">
        <v>332</v>
      </c>
      <c r="B24" s="279">
        <v>9.3167701863354033E-2</v>
      </c>
      <c r="C24" s="279">
        <v>0.12836438923395446</v>
      </c>
      <c r="D24" s="279">
        <v>0</v>
      </c>
      <c r="E24" s="279">
        <v>2.6915113871635612E-2</v>
      </c>
      <c r="F24" s="279">
        <v>0.12164948453608247</v>
      </c>
      <c r="G24" s="279">
        <v>0.1670103092783505</v>
      </c>
      <c r="H24" s="279">
        <v>0</v>
      </c>
      <c r="I24" s="279">
        <v>2.4742268041237112E-2</v>
      </c>
    </row>
    <row r="25" spans="1:11" x14ac:dyDescent="0.35">
      <c r="A25" s="154" t="s">
        <v>158</v>
      </c>
      <c r="B25" s="279">
        <v>0.39958592132505177</v>
      </c>
      <c r="C25" s="279">
        <v>0.56314699792960665</v>
      </c>
      <c r="D25" s="279">
        <v>8.2815734989648039E-3</v>
      </c>
      <c r="E25" s="279">
        <v>2.8985507246376812E-2</v>
      </c>
      <c r="F25" s="279">
        <v>0.40618556701030928</v>
      </c>
      <c r="G25" s="279">
        <v>0.56494845360824741</v>
      </c>
      <c r="H25" s="279">
        <v>4.1237113402061857E-3</v>
      </c>
      <c r="I25" s="279">
        <v>2.4742268041237112E-2</v>
      </c>
    </row>
    <row r="27" spans="1:11" x14ac:dyDescent="0.35">
      <c r="A27" s="1" t="s">
        <v>80</v>
      </c>
      <c r="B27" s="171" t="s">
        <v>81</v>
      </c>
      <c r="C27" s="2"/>
    </row>
    <row r="29" spans="1:11" x14ac:dyDescent="0.35">
      <c r="A29" s="420" t="s">
        <v>75</v>
      </c>
      <c r="B29" s="371" t="s">
        <v>174</v>
      </c>
      <c r="C29" s="371"/>
      <c r="D29" s="371" t="s">
        <v>175</v>
      </c>
      <c r="E29" s="371"/>
      <c r="F29" s="371" t="s">
        <v>176</v>
      </c>
      <c r="G29" s="371"/>
      <c r="H29" s="371" t="s">
        <v>177</v>
      </c>
      <c r="I29" s="371"/>
      <c r="J29" s="371" t="s">
        <v>178</v>
      </c>
      <c r="K29" s="371"/>
    </row>
    <row r="30" spans="1:11" x14ac:dyDescent="0.35">
      <c r="A30" s="420"/>
      <c r="B30" s="161" t="s">
        <v>184</v>
      </c>
      <c r="C30" s="161" t="s">
        <v>185</v>
      </c>
      <c r="D30" s="161" t="s">
        <v>184</v>
      </c>
      <c r="E30" s="161" t="s">
        <v>185</v>
      </c>
      <c r="F30" s="161" t="s">
        <v>184</v>
      </c>
      <c r="G30" s="161" t="s">
        <v>185</v>
      </c>
      <c r="H30" s="161" t="s">
        <v>184</v>
      </c>
      <c r="I30" s="161" t="s">
        <v>185</v>
      </c>
      <c r="J30" s="161" t="s">
        <v>184</v>
      </c>
      <c r="K30" s="161" t="s">
        <v>185</v>
      </c>
    </row>
    <row r="31" spans="1:11" x14ac:dyDescent="0.35">
      <c r="A31" s="177" t="s">
        <v>330</v>
      </c>
      <c r="B31" s="121">
        <v>0.2</v>
      </c>
      <c r="C31" s="121">
        <v>1.5</v>
      </c>
      <c r="D31" s="121">
        <v>0.2</v>
      </c>
      <c r="E31" s="121">
        <v>1.7</v>
      </c>
      <c r="F31" s="121">
        <v>0.2</v>
      </c>
      <c r="G31" s="121">
        <v>1.5</v>
      </c>
      <c r="H31" s="121">
        <v>0.2</v>
      </c>
      <c r="I31" s="121">
        <v>1.5</v>
      </c>
      <c r="J31" s="121">
        <v>0.6</v>
      </c>
      <c r="K31" s="121">
        <v>2.1</v>
      </c>
    </row>
    <row r="32" spans="1:11" x14ac:dyDescent="0.35">
      <c r="A32" s="177" t="s">
        <v>333</v>
      </c>
      <c r="B32" s="121">
        <v>24.5</v>
      </c>
      <c r="C32" s="121">
        <v>31.1</v>
      </c>
      <c r="D32" s="121">
        <v>25.5</v>
      </c>
      <c r="E32" s="121">
        <v>30.9</v>
      </c>
      <c r="F32" s="121">
        <v>23.4</v>
      </c>
      <c r="G32" s="121">
        <v>29.4</v>
      </c>
      <c r="H32" s="121">
        <v>23</v>
      </c>
      <c r="I32" s="121">
        <v>31.2</v>
      </c>
      <c r="J32" s="121">
        <v>24.2</v>
      </c>
      <c r="K32" s="121">
        <v>33.299999999999997</v>
      </c>
    </row>
    <row r="33" spans="1:11" x14ac:dyDescent="0.35">
      <c r="A33" s="177" t="s">
        <v>334</v>
      </c>
      <c r="B33" s="121">
        <v>0.6</v>
      </c>
      <c r="C33" s="121">
        <v>0.9</v>
      </c>
      <c r="D33" s="121">
        <v>0.4</v>
      </c>
      <c r="E33" s="121">
        <v>0.4</v>
      </c>
      <c r="F33" s="121">
        <v>0.4</v>
      </c>
      <c r="G33" s="121">
        <v>0.6</v>
      </c>
      <c r="H33" s="121">
        <v>0.8</v>
      </c>
      <c r="I33" s="121">
        <v>0.4</v>
      </c>
      <c r="J33" s="121">
        <v>1</v>
      </c>
      <c r="K33" s="121">
        <v>0.4</v>
      </c>
    </row>
    <row r="34" spans="1:11" x14ac:dyDescent="0.35">
      <c r="A34" s="177" t="s">
        <v>335</v>
      </c>
      <c r="B34" s="121">
        <v>0.6</v>
      </c>
      <c r="C34" s="121">
        <v>0.6</v>
      </c>
      <c r="D34" s="121">
        <v>0.6</v>
      </c>
      <c r="E34" s="121">
        <v>0.6</v>
      </c>
      <c r="F34" s="121">
        <v>0.6</v>
      </c>
      <c r="G34" s="121">
        <v>0.6</v>
      </c>
      <c r="H34" s="121">
        <v>0.8</v>
      </c>
      <c r="I34" s="121">
        <v>0.8</v>
      </c>
      <c r="J34" s="121">
        <v>0.6</v>
      </c>
      <c r="K34" s="121">
        <v>0.6</v>
      </c>
    </row>
    <row r="35" spans="1:11" x14ac:dyDescent="0.35">
      <c r="A35" s="177" t="s">
        <v>186</v>
      </c>
      <c r="B35" s="121" t="s">
        <v>266</v>
      </c>
      <c r="C35" s="121">
        <v>0.4</v>
      </c>
      <c r="D35" s="121" t="s">
        <v>266</v>
      </c>
      <c r="E35" s="121">
        <v>0.6</v>
      </c>
      <c r="F35" s="121" t="s">
        <v>266</v>
      </c>
      <c r="G35" s="121">
        <v>0.6</v>
      </c>
      <c r="H35" s="121">
        <v>0.2</v>
      </c>
      <c r="I35" s="121">
        <v>0.8</v>
      </c>
      <c r="J35" s="121">
        <v>0.4</v>
      </c>
      <c r="K35" s="121">
        <v>0.8</v>
      </c>
    </row>
    <row r="36" spans="1:11" x14ac:dyDescent="0.35">
      <c r="A36" s="177" t="s">
        <v>277</v>
      </c>
      <c r="B36" s="121">
        <v>16.399999999999999</v>
      </c>
      <c r="C36" s="121">
        <v>23.2</v>
      </c>
      <c r="D36" s="121">
        <v>17.3</v>
      </c>
      <c r="E36" s="121">
        <v>21.6</v>
      </c>
      <c r="F36" s="121">
        <v>18.899999999999999</v>
      </c>
      <c r="G36" s="121">
        <v>23.6</v>
      </c>
      <c r="H36" s="121">
        <v>17.2</v>
      </c>
      <c r="I36" s="121">
        <v>23</v>
      </c>
      <c r="J36" s="121">
        <v>15.5</v>
      </c>
      <c r="K36" s="121">
        <v>20.5</v>
      </c>
    </row>
    <row r="37" spans="1:11" x14ac:dyDescent="0.35">
      <c r="A37" s="177" t="s">
        <v>158</v>
      </c>
      <c r="B37" s="121">
        <v>42.3</v>
      </c>
      <c r="C37" s="121">
        <v>57.7</v>
      </c>
      <c r="D37" s="121">
        <v>44.1</v>
      </c>
      <c r="E37" s="121">
        <v>55.9</v>
      </c>
      <c r="F37" s="121">
        <v>43.6</v>
      </c>
      <c r="G37" s="121">
        <v>56.4</v>
      </c>
      <c r="H37" s="121">
        <v>42.3</v>
      </c>
      <c r="I37" s="121">
        <v>57.7</v>
      </c>
      <c r="J37" s="121">
        <v>42.4</v>
      </c>
      <c r="K37" s="121">
        <v>57.6</v>
      </c>
    </row>
    <row r="39" spans="1:11" x14ac:dyDescent="0.35">
      <c r="A39" s="1" t="s">
        <v>82</v>
      </c>
      <c r="B39" s="171" t="s">
        <v>83</v>
      </c>
      <c r="C39" s="2"/>
    </row>
    <row r="41" spans="1:11" ht="58" x14ac:dyDescent="0.35">
      <c r="A41" s="121" t="s">
        <v>191</v>
      </c>
      <c r="B41" s="4" t="s">
        <v>330</v>
      </c>
      <c r="C41" s="121" t="s">
        <v>328</v>
      </c>
      <c r="D41" s="4" t="s">
        <v>329</v>
      </c>
      <c r="E41" s="121" t="s">
        <v>331</v>
      </c>
      <c r="F41" s="121" t="s">
        <v>332</v>
      </c>
      <c r="H41"/>
    </row>
    <row r="42" spans="1:11" x14ac:dyDescent="0.35">
      <c r="A42" s="121" t="s">
        <v>163</v>
      </c>
      <c r="B42" s="313">
        <v>0</v>
      </c>
      <c r="C42" s="313">
        <v>17.64</v>
      </c>
      <c r="D42" s="313">
        <v>5.9</v>
      </c>
      <c r="E42" s="313">
        <v>5.9</v>
      </c>
      <c r="F42" s="313">
        <v>70.5</v>
      </c>
      <c r="H42"/>
    </row>
    <row r="43" spans="1:11" x14ac:dyDescent="0.35">
      <c r="A43" s="121" t="s">
        <v>164</v>
      </c>
      <c r="B43" s="313">
        <v>11.22</v>
      </c>
      <c r="C43" s="313">
        <v>48.97</v>
      </c>
      <c r="D43" s="313">
        <v>2</v>
      </c>
      <c r="E43" s="313">
        <v>5.0999999999999996</v>
      </c>
      <c r="F43" s="313">
        <v>32.65</v>
      </c>
      <c r="H43"/>
    </row>
    <row r="44" spans="1:11" x14ac:dyDescent="0.35">
      <c r="A44" s="121" t="s">
        <v>165</v>
      </c>
      <c r="B44" s="313">
        <v>6.81</v>
      </c>
      <c r="C44" s="313">
        <v>62.87</v>
      </c>
      <c r="D44" s="313">
        <v>3</v>
      </c>
      <c r="E44" s="313">
        <v>2.27</v>
      </c>
      <c r="F44" s="313">
        <v>25</v>
      </c>
      <c r="H44"/>
    </row>
    <row r="45" spans="1:11" x14ac:dyDescent="0.35">
      <c r="A45" s="121" t="s">
        <v>166</v>
      </c>
      <c r="B45" s="313">
        <v>2.67</v>
      </c>
      <c r="C45" s="313">
        <v>61.6</v>
      </c>
      <c r="D45" s="313">
        <v>0.89</v>
      </c>
      <c r="E45" s="313">
        <v>33.93</v>
      </c>
      <c r="F45" s="313">
        <v>0.89</v>
      </c>
      <c r="H45"/>
    </row>
    <row r="46" spans="1:11" x14ac:dyDescent="0.35">
      <c r="A46" s="121" t="s">
        <v>167</v>
      </c>
      <c r="B46" s="313">
        <v>1.9</v>
      </c>
      <c r="C46" s="313">
        <v>61.9</v>
      </c>
      <c r="D46" s="313">
        <v>6.67</v>
      </c>
      <c r="E46" s="313">
        <v>0</v>
      </c>
      <c r="F46" s="313">
        <v>28.57</v>
      </c>
      <c r="H46" s="70"/>
    </row>
    <row r="47" spans="1:11" x14ac:dyDescent="0.35">
      <c r="A47" s="121" t="s">
        <v>168</v>
      </c>
      <c r="B47" s="313">
        <v>4.76</v>
      </c>
      <c r="C47" s="313">
        <v>61.9</v>
      </c>
      <c r="D47" s="313">
        <v>0</v>
      </c>
      <c r="E47" s="313">
        <v>0</v>
      </c>
      <c r="F47" s="313">
        <v>33.33</v>
      </c>
      <c r="H47" s="69"/>
    </row>
    <row r="48" spans="1:11" x14ac:dyDescent="0.35">
      <c r="H48" s="128"/>
    </row>
    <row r="49" spans="1:16" x14ac:dyDescent="0.35">
      <c r="A49" s="1" t="s">
        <v>84</v>
      </c>
      <c r="B49" t="s">
        <v>85</v>
      </c>
      <c r="H49" s="312"/>
    </row>
    <row r="50" spans="1:16" x14ac:dyDescent="0.35">
      <c r="H50" s="312"/>
    </row>
    <row r="51" spans="1:16" x14ac:dyDescent="0.35">
      <c r="A51" s="356" t="s">
        <v>114</v>
      </c>
      <c r="B51" s="355" t="s">
        <v>328</v>
      </c>
      <c r="C51" s="355"/>
      <c r="D51" s="355"/>
      <c r="E51" s="355" t="s">
        <v>329</v>
      </c>
      <c r="F51" s="355"/>
      <c r="G51" s="355"/>
      <c r="H51" s="355" t="s">
        <v>330</v>
      </c>
      <c r="I51" s="355"/>
      <c r="J51" s="355"/>
      <c r="K51" s="355" t="s">
        <v>331</v>
      </c>
      <c r="L51" s="355"/>
      <c r="M51" s="355"/>
      <c r="N51" s="355" t="s">
        <v>336</v>
      </c>
      <c r="O51" s="355"/>
      <c r="P51" s="355"/>
    </row>
    <row r="52" spans="1:16" x14ac:dyDescent="0.35">
      <c r="A52" s="356"/>
      <c r="B52" s="160" t="s">
        <v>337</v>
      </c>
      <c r="C52" s="121" t="s">
        <v>138</v>
      </c>
      <c r="D52" s="121" t="s">
        <v>196</v>
      </c>
      <c r="E52" s="160" t="s">
        <v>337</v>
      </c>
      <c r="F52" s="121" t="s">
        <v>138</v>
      </c>
      <c r="G52" s="121" t="s">
        <v>196</v>
      </c>
      <c r="H52" s="160" t="s">
        <v>195</v>
      </c>
      <c r="I52" s="121" t="s">
        <v>138</v>
      </c>
      <c r="J52" s="121" t="s">
        <v>196</v>
      </c>
      <c r="K52" s="160" t="s">
        <v>337</v>
      </c>
      <c r="L52" s="121" t="s">
        <v>138</v>
      </c>
      <c r="M52" s="121" t="s">
        <v>196</v>
      </c>
      <c r="N52" s="121" t="s">
        <v>195</v>
      </c>
      <c r="O52" s="121" t="s">
        <v>138</v>
      </c>
      <c r="P52" s="121" t="s">
        <v>196</v>
      </c>
    </row>
    <row r="53" spans="1:16" x14ac:dyDescent="0.35">
      <c r="A53" s="3">
        <v>44286</v>
      </c>
      <c r="B53" s="4">
        <v>1552</v>
      </c>
      <c r="C53" s="4">
        <v>101</v>
      </c>
      <c r="D53" s="4">
        <v>23</v>
      </c>
      <c r="E53" s="4">
        <v>171</v>
      </c>
      <c r="F53" s="4">
        <v>11</v>
      </c>
      <c r="G53" s="4">
        <v>2</v>
      </c>
      <c r="H53" s="4">
        <v>226</v>
      </c>
      <c r="I53" s="4">
        <v>8</v>
      </c>
      <c r="J53" s="4">
        <v>1</v>
      </c>
      <c r="K53" s="4">
        <v>50</v>
      </c>
      <c r="L53" s="4">
        <v>3</v>
      </c>
      <c r="M53" s="4">
        <v>1</v>
      </c>
      <c r="N53" s="4">
        <f>191+331</f>
        <v>522</v>
      </c>
      <c r="O53" s="4">
        <f>29+9</f>
        <v>38</v>
      </c>
      <c r="P53" s="4">
        <v>4</v>
      </c>
    </row>
    <row r="54" spans="1:16" x14ac:dyDescent="0.35">
      <c r="A54" s="3">
        <v>44651</v>
      </c>
      <c r="B54" s="4">
        <v>481</v>
      </c>
      <c r="C54" s="4">
        <v>84</v>
      </c>
      <c r="D54" s="4">
        <v>24</v>
      </c>
      <c r="E54" s="4">
        <v>34</v>
      </c>
      <c r="F54" s="4">
        <v>7</v>
      </c>
      <c r="G54" s="4">
        <v>4</v>
      </c>
      <c r="H54" s="4">
        <v>104</v>
      </c>
      <c r="I54" s="4">
        <v>9</v>
      </c>
      <c r="J54" s="4">
        <v>1</v>
      </c>
      <c r="K54" s="4">
        <v>20</v>
      </c>
      <c r="L54" s="4">
        <v>2</v>
      </c>
      <c r="M54" s="4">
        <v>1</v>
      </c>
      <c r="N54" s="4">
        <v>313</v>
      </c>
      <c r="O54" s="4">
        <v>94</v>
      </c>
      <c r="P54" s="4">
        <v>29</v>
      </c>
    </row>
    <row r="55" spans="1:16" x14ac:dyDescent="0.35">
      <c r="A55" s="3">
        <v>45016</v>
      </c>
      <c r="B55" s="4">
        <v>918</v>
      </c>
      <c r="C55" s="4">
        <v>193</v>
      </c>
      <c r="D55" s="4">
        <v>56</v>
      </c>
      <c r="E55" s="4">
        <v>82</v>
      </c>
      <c r="F55" s="4">
        <v>16</v>
      </c>
      <c r="G55" s="4">
        <v>3</v>
      </c>
      <c r="H55" s="4">
        <v>159</v>
      </c>
      <c r="I55" s="4">
        <v>36</v>
      </c>
      <c r="J55" s="4">
        <v>7</v>
      </c>
      <c r="K55" s="4">
        <v>42</v>
      </c>
      <c r="L55" s="4">
        <v>4</v>
      </c>
      <c r="M55" s="4">
        <v>1</v>
      </c>
      <c r="N55" s="4">
        <v>281</v>
      </c>
      <c r="O55" s="4">
        <v>41</v>
      </c>
      <c r="P55" s="4">
        <v>10</v>
      </c>
    </row>
    <row r="56" spans="1:16" x14ac:dyDescent="0.35">
      <c r="A56" s="3">
        <v>45382</v>
      </c>
      <c r="B56" s="4">
        <v>1682</v>
      </c>
      <c r="C56" s="4">
        <v>283</v>
      </c>
      <c r="D56" s="4">
        <v>32</v>
      </c>
      <c r="E56" s="4">
        <v>134</v>
      </c>
      <c r="F56" s="4">
        <v>25</v>
      </c>
      <c r="G56" s="4">
        <v>4</v>
      </c>
      <c r="H56" s="4">
        <v>323</v>
      </c>
      <c r="I56" s="4">
        <v>55</v>
      </c>
      <c r="J56" s="4">
        <v>6</v>
      </c>
      <c r="K56" s="4">
        <v>72</v>
      </c>
      <c r="L56" s="4">
        <v>13</v>
      </c>
      <c r="M56" s="4">
        <v>3</v>
      </c>
      <c r="N56" s="4">
        <v>459</v>
      </c>
      <c r="O56" s="4">
        <v>82</v>
      </c>
      <c r="P56" s="4">
        <v>16</v>
      </c>
    </row>
    <row r="57" spans="1:16" x14ac:dyDescent="0.35">
      <c r="A57" s="3" t="s">
        <v>125</v>
      </c>
      <c r="B57" s="4">
        <v>3245</v>
      </c>
      <c r="C57" s="4">
        <v>526</v>
      </c>
      <c r="D57" s="4">
        <v>53</v>
      </c>
      <c r="E57" s="4">
        <v>261</v>
      </c>
      <c r="F57" s="4">
        <v>49</v>
      </c>
      <c r="G57" s="4">
        <v>3</v>
      </c>
      <c r="H57" s="4">
        <v>720</v>
      </c>
      <c r="I57" s="4">
        <v>97</v>
      </c>
      <c r="J57" s="4">
        <v>14</v>
      </c>
      <c r="K57" s="4">
        <v>68</v>
      </c>
      <c r="L57" s="4">
        <v>10</v>
      </c>
      <c r="M57" s="4">
        <v>0</v>
      </c>
      <c r="N57" s="4">
        <v>705</v>
      </c>
      <c r="O57" s="4">
        <v>107</v>
      </c>
      <c r="P57" s="4">
        <v>13</v>
      </c>
    </row>
    <row r="59" spans="1:16" x14ac:dyDescent="0.35">
      <c r="A59" s="1" t="s">
        <v>86</v>
      </c>
      <c r="B59" t="s">
        <v>87</v>
      </c>
    </row>
    <row r="61" spans="1:16" x14ac:dyDescent="0.35">
      <c r="A61" s="314" t="s">
        <v>75</v>
      </c>
      <c r="B61" s="315" t="s">
        <v>204</v>
      </c>
      <c r="C61" s="315" t="s">
        <v>205</v>
      </c>
      <c r="D61" s="315" t="s">
        <v>206</v>
      </c>
      <c r="E61" s="315" t="s">
        <v>153</v>
      </c>
      <c r="F61" s="315" t="s">
        <v>154</v>
      </c>
      <c r="G61" s="315" t="s">
        <v>207</v>
      </c>
    </row>
    <row r="62" spans="1:16" x14ac:dyDescent="0.35">
      <c r="A62" s="262" t="s">
        <v>330</v>
      </c>
      <c r="B62" s="121">
        <v>10</v>
      </c>
      <c r="C62" s="121">
        <v>4</v>
      </c>
      <c r="D62" s="121">
        <v>3</v>
      </c>
      <c r="E62" s="121">
        <v>6</v>
      </c>
      <c r="F62" s="121">
        <v>33</v>
      </c>
      <c r="G62" s="121">
        <v>20</v>
      </c>
    </row>
    <row r="63" spans="1:16" x14ac:dyDescent="0.35">
      <c r="A63" s="262" t="s">
        <v>328</v>
      </c>
      <c r="B63" s="121">
        <v>193</v>
      </c>
      <c r="C63" s="121">
        <v>170</v>
      </c>
      <c r="D63" s="121">
        <v>141</v>
      </c>
      <c r="E63" s="121">
        <v>178</v>
      </c>
      <c r="F63" s="121">
        <v>280</v>
      </c>
      <c r="G63" s="121">
        <v>158</v>
      </c>
    </row>
    <row r="64" spans="1:16" x14ac:dyDescent="0.35">
      <c r="A64" s="262" t="s">
        <v>329</v>
      </c>
      <c r="B64" s="121">
        <v>1</v>
      </c>
      <c r="C64" s="121">
        <v>2</v>
      </c>
      <c r="D64" s="121">
        <v>5</v>
      </c>
      <c r="E64" s="121">
        <v>6</v>
      </c>
      <c r="F64" s="121">
        <v>16</v>
      </c>
      <c r="G64" s="121">
        <v>8</v>
      </c>
    </row>
    <row r="65" spans="1:7" x14ac:dyDescent="0.35">
      <c r="A65" s="197" t="s">
        <v>335</v>
      </c>
      <c r="B65" s="121">
        <v>5</v>
      </c>
      <c r="C65" s="121">
        <v>4</v>
      </c>
      <c r="D65" s="121">
        <v>3</v>
      </c>
      <c r="E65" s="121">
        <v>5</v>
      </c>
      <c r="F65" s="272"/>
      <c r="G65" s="272"/>
    </row>
    <row r="66" spans="1:7" x14ac:dyDescent="0.35">
      <c r="A66" s="262" t="s">
        <v>331</v>
      </c>
      <c r="B66" s="121">
        <v>3</v>
      </c>
      <c r="C66" s="121">
        <v>3</v>
      </c>
      <c r="D66" s="121">
        <v>3</v>
      </c>
      <c r="E66" s="121">
        <v>4</v>
      </c>
      <c r="F66" s="121">
        <v>12</v>
      </c>
      <c r="G66" s="121">
        <v>7</v>
      </c>
    </row>
    <row r="67" spans="1:7" x14ac:dyDescent="0.35">
      <c r="A67" s="262" t="s">
        <v>332</v>
      </c>
      <c r="B67" s="121">
        <v>133</v>
      </c>
      <c r="C67" s="121">
        <v>125</v>
      </c>
      <c r="D67" s="121">
        <v>99</v>
      </c>
      <c r="E67" s="121">
        <v>101</v>
      </c>
      <c r="F67" s="121">
        <v>98</v>
      </c>
      <c r="G67" s="121">
        <v>82</v>
      </c>
    </row>
    <row r="68" spans="1:7" x14ac:dyDescent="0.35">
      <c r="A68" s="197" t="s">
        <v>158</v>
      </c>
      <c r="B68" s="165">
        <v>345</v>
      </c>
      <c r="C68" s="165">
        <v>308</v>
      </c>
      <c r="D68" s="165">
        <v>254</v>
      </c>
      <c r="E68" s="165">
        <v>300</v>
      </c>
      <c r="F68" s="165">
        <f>SUM(F62:F67)</f>
        <v>439</v>
      </c>
      <c r="G68" s="165">
        <f>SUM(G62:G67)</f>
        <v>275</v>
      </c>
    </row>
    <row r="70" spans="1:7" x14ac:dyDescent="0.35">
      <c r="A70" s="1" t="s">
        <v>88</v>
      </c>
      <c r="B70" t="s">
        <v>89</v>
      </c>
    </row>
    <row r="72" spans="1:7" x14ac:dyDescent="0.35">
      <c r="A72" s="316" t="s">
        <v>338</v>
      </c>
      <c r="B72" s="316" t="s">
        <v>115</v>
      </c>
      <c r="C72" s="121" t="s">
        <v>324</v>
      </c>
    </row>
    <row r="73" spans="1:7" x14ac:dyDescent="0.35">
      <c r="A73" s="316" t="s">
        <v>339</v>
      </c>
      <c r="B73" s="317">
        <v>12</v>
      </c>
      <c r="C73" s="189">
        <f>12/55</f>
        <v>0.21818181818181817</v>
      </c>
    </row>
    <row r="74" spans="1:7" x14ac:dyDescent="0.35">
      <c r="A74" s="316" t="s">
        <v>340</v>
      </c>
      <c r="B74" s="317">
        <v>35</v>
      </c>
      <c r="C74" s="189">
        <f>35/55</f>
        <v>0.63636363636363635</v>
      </c>
    </row>
    <row r="75" spans="1:7" x14ac:dyDescent="0.35">
      <c r="A75" s="316" t="s">
        <v>341</v>
      </c>
      <c r="B75" s="317">
        <v>6</v>
      </c>
      <c r="C75" s="189">
        <f>6/55</f>
        <v>0.10909090909090909</v>
      </c>
    </row>
    <row r="76" spans="1:7" x14ac:dyDescent="0.35">
      <c r="A76" s="316" t="s">
        <v>171</v>
      </c>
      <c r="B76" s="317">
        <v>2</v>
      </c>
      <c r="C76" s="189">
        <f>2/55</f>
        <v>3.6363636363636362E-2</v>
      </c>
    </row>
    <row r="78" spans="1:7" x14ac:dyDescent="0.35">
      <c r="A78" s="354" t="s">
        <v>159</v>
      </c>
      <c r="B78" s="354"/>
      <c r="C78" s="354"/>
      <c r="D78" s="354"/>
      <c r="E78" s="354"/>
    </row>
    <row r="79" spans="1:7" x14ac:dyDescent="0.35">
      <c r="A79" s="350" t="s">
        <v>160</v>
      </c>
      <c r="B79" s="350"/>
      <c r="C79" s="350"/>
      <c r="D79" s="350"/>
      <c r="E79" s="350"/>
    </row>
    <row r="80" spans="1:7" x14ac:dyDescent="0.35">
      <c r="A80" s="351"/>
      <c r="B80" s="351"/>
      <c r="C80" s="351"/>
      <c r="D80" s="351"/>
      <c r="E80" s="351"/>
    </row>
  </sheetData>
  <sheetProtection algorithmName="SHA-512" hashValue="nGLY/6XMC14dd7x+MU5uYlh9PXQx41ncOQ1poQt4vvSD8CbMUojh+p5Vd50hapyGFO9cs1ylPNE/WlpQ5NTaCg==" saltValue="u/yG7EmD1m1Za5jCE+Upjg==" spinCount="100000" sheet="1" formatCells="0" formatColumns="0" formatRows="0" insertColumns="0" insertRows="0" insertHyperlinks="0" deleteColumns="0" deleteRows="0" sort="0" autoFilter="0" pivotTables="0"/>
  <mergeCells count="17">
    <mergeCell ref="J29:K29"/>
    <mergeCell ref="B18:E18"/>
    <mergeCell ref="F18:I18"/>
    <mergeCell ref="A29:A30"/>
    <mergeCell ref="B29:C29"/>
    <mergeCell ref="D29:E29"/>
    <mergeCell ref="F29:G29"/>
    <mergeCell ref="H29:I29"/>
    <mergeCell ref="N51:P51"/>
    <mergeCell ref="A51:A52"/>
    <mergeCell ref="A78:E78"/>
    <mergeCell ref="A79:E79"/>
    <mergeCell ref="A80:E80"/>
    <mergeCell ref="B51:D51"/>
    <mergeCell ref="E51:G51"/>
    <mergeCell ref="H51:J51"/>
    <mergeCell ref="K51:M5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0C1B9-62CD-4927-8849-515051CFB292}">
  <dimension ref="A1:S73"/>
  <sheetViews>
    <sheetView showGridLines="0" topLeftCell="A64" zoomScale="70" zoomScaleNormal="70" workbookViewId="0">
      <selection activeCell="I16" sqref="I16"/>
    </sheetView>
  </sheetViews>
  <sheetFormatPr defaultRowHeight="14.5" x14ac:dyDescent="0.35"/>
  <cols>
    <col min="1" max="1" width="23.1796875" customWidth="1"/>
    <col min="2" max="2" width="19.453125" bestFit="1" customWidth="1"/>
    <col min="3" max="3" width="18.453125" customWidth="1"/>
    <col min="4" max="4" width="13.1796875" bestFit="1" customWidth="1"/>
    <col min="5" max="5" width="16.453125" customWidth="1"/>
    <col min="6" max="6" width="12.453125" bestFit="1" customWidth="1"/>
    <col min="7" max="7" width="14.81640625" customWidth="1"/>
    <col min="8" max="8" width="15.453125" customWidth="1"/>
    <col min="9" max="9" width="14.1796875" customWidth="1"/>
    <col min="10" max="10" width="14.54296875" customWidth="1"/>
    <col min="11" max="11" width="14.81640625" customWidth="1"/>
    <col min="12" max="12" width="14.54296875" customWidth="1"/>
    <col min="13" max="13" width="15.1796875" customWidth="1"/>
    <col min="14" max="14" width="14.54296875" customWidth="1"/>
    <col min="15" max="15" width="15.453125" customWidth="1"/>
    <col min="16" max="16" width="13.54296875" customWidth="1"/>
    <col min="17" max="17" width="14" customWidth="1"/>
    <col min="18" max="18" width="11.54296875" customWidth="1"/>
    <col min="19" max="19" width="12.453125" customWidth="1"/>
  </cols>
  <sheetData>
    <row r="1" spans="1:7" s="6" customFormat="1" x14ac:dyDescent="0.35">
      <c r="A1" s="6" t="s">
        <v>342</v>
      </c>
    </row>
    <row r="2" spans="1:7" s="6" customFormat="1" x14ac:dyDescent="0.35"/>
    <row r="3" spans="1:7" s="6" customFormat="1" x14ac:dyDescent="0.35">
      <c r="A3" s="1" t="s">
        <v>91</v>
      </c>
      <c r="B3" s="157" t="s">
        <v>92</v>
      </c>
      <c r="C3" s="157"/>
      <c r="D3"/>
    </row>
    <row r="5" spans="1:7" ht="72.5" x14ac:dyDescent="0.35">
      <c r="A5" s="3" t="s">
        <v>114</v>
      </c>
      <c r="B5" s="121" t="s">
        <v>343</v>
      </c>
      <c r="C5" s="121" t="s">
        <v>344</v>
      </c>
      <c r="D5" s="121" t="s">
        <v>345</v>
      </c>
      <c r="E5" s="121" t="s">
        <v>346</v>
      </c>
      <c r="F5" s="121" t="s">
        <v>347</v>
      </c>
      <c r="G5" s="121" t="s">
        <v>348</v>
      </c>
    </row>
    <row r="6" spans="1:7" x14ac:dyDescent="0.35">
      <c r="A6" s="3">
        <v>43555</v>
      </c>
      <c r="B6" s="193">
        <v>2.1999999999999999E-2</v>
      </c>
      <c r="C6" s="193">
        <v>0.39400000000000002</v>
      </c>
      <c r="D6" s="193">
        <v>0.26900000000000002</v>
      </c>
      <c r="E6" s="193">
        <v>1.9E-2</v>
      </c>
      <c r="F6" s="193">
        <v>1.4999999999999999E-2</v>
      </c>
      <c r="G6" s="193">
        <v>0.28299999999999997</v>
      </c>
    </row>
    <row r="7" spans="1:7" x14ac:dyDescent="0.35">
      <c r="A7" s="3">
        <v>43921</v>
      </c>
      <c r="B7" s="193">
        <v>2.3E-2</v>
      </c>
      <c r="C7" s="193">
        <v>0.40600000000000003</v>
      </c>
      <c r="D7" s="193">
        <v>0.30099999999999999</v>
      </c>
      <c r="E7" s="193">
        <v>1.2E-2</v>
      </c>
      <c r="F7" s="193">
        <v>1.2E-2</v>
      </c>
      <c r="G7" s="193">
        <v>0.24299999999999999</v>
      </c>
    </row>
    <row r="8" spans="1:7" x14ac:dyDescent="0.35">
      <c r="A8" s="3">
        <v>44286</v>
      </c>
      <c r="B8" s="193">
        <v>1.9E-2</v>
      </c>
      <c r="C8" s="193">
        <v>0.38900000000000001</v>
      </c>
      <c r="D8" s="193">
        <v>0.29099999999999998</v>
      </c>
      <c r="E8" s="193">
        <v>1.2E-2</v>
      </c>
      <c r="F8" s="193">
        <v>8.0000000000000002E-3</v>
      </c>
      <c r="G8" s="193">
        <v>0.27900000000000003</v>
      </c>
    </row>
    <row r="9" spans="1:7" x14ac:dyDescent="0.35">
      <c r="A9" s="3">
        <v>44651</v>
      </c>
      <c r="B9" s="193">
        <v>2.7E-2</v>
      </c>
      <c r="C9" s="193">
        <v>0.39200000000000002</v>
      </c>
      <c r="D9" s="193">
        <v>0.27800000000000002</v>
      </c>
      <c r="E9" s="193">
        <v>1.2E-2</v>
      </c>
      <c r="F9" s="193">
        <v>6.0000000000000001E-3</v>
      </c>
      <c r="G9" s="193">
        <v>0.28499999999999998</v>
      </c>
    </row>
    <row r="10" spans="1:7" x14ac:dyDescent="0.35">
      <c r="A10" s="3">
        <v>45016</v>
      </c>
      <c r="B10" s="193">
        <v>3.1E-2</v>
      </c>
      <c r="C10" s="193">
        <v>0.38700000000000001</v>
      </c>
      <c r="D10" s="193">
        <v>0.30299999999999999</v>
      </c>
      <c r="E10" s="193">
        <v>1.2E-2</v>
      </c>
      <c r="F10" s="193">
        <v>6.0000000000000001E-3</v>
      </c>
      <c r="G10" s="193">
        <v>0.25900000000000001</v>
      </c>
    </row>
    <row r="11" spans="1:7" x14ac:dyDescent="0.35">
      <c r="A11" s="3">
        <v>45382</v>
      </c>
      <c r="B11" s="193">
        <v>5.8000000000000003E-2</v>
      </c>
      <c r="C11" s="193">
        <v>0.39340000000000003</v>
      </c>
      <c r="D11" s="193">
        <v>0.31469999999999998</v>
      </c>
      <c r="E11" s="193">
        <v>1.24E-2</v>
      </c>
      <c r="F11" s="193">
        <v>1.24E-2</v>
      </c>
      <c r="G11" s="193">
        <v>0.20910000000000001</v>
      </c>
    </row>
    <row r="12" spans="1:7" x14ac:dyDescent="0.35">
      <c r="A12" s="3" t="s">
        <v>125</v>
      </c>
      <c r="B12" s="193">
        <v>5.57E-2</v>
      </c>
      <c r="C12" s="193">
        <v>0.38350000000000001</v>
      </c>
      <c r="D12" s="193">
        <v>0.33610000000000001</v>
      </c>
      <c r="E12" s="193">
        <v>1.44E-2</v>
      </c>
      <c r="F12" s="193">
        <v>1.24E-2</v>
      </c>
      <c r="G12" s="193">
        <v>0.19789999999999999</v>
      </c>
    </row>
    <row r="13" spans="1:7" x14ac:dyDescent="0.35">
      <c r="A13" s="206"/>
      <c r="B13" s="329"/>
      <c r="C13" s="329"/>
      <c r="D13" s="329"/>
      <c r="E13" s="329"/>
      <c r="F13" s="329"/>
      <c r="G13" s="329"/>
    </row>
    <row r="14" spans="1:7" x14ac:dyDescent="0.35">
      <c r="A14" s="308" t="s">
        <v>240</v>
      </c>
      <c r="B14" s="330">
        <v>8.3799999999999999E-2</v>
      </c>
      <c r="C14" s="330">
        <v>0.44</v>
      </c>
      <c r="D14" s="330">
        <v>0.38129999999999997</v>
      </c>
      <c r="E14" s="330">
        <v>2.4500000000000001E-2</v>
      </c>
      <c r="F14" s="330">
        <v>7.0400000000000004E-2</v>
      </c>
      <c r="G14" s="330" t="s">
        <v>263</v>
      </c>
    </row>
    <row r="15" spans="1:7" x14ac:dyDescent="0.35">
      <c r="A15" s="1"/>
    </row>
    <row r="16" spans="1:7" x14ac:dyDescent="0.35">
      <c r="A16" s="1" t="s">
        <v>93</v>
      </c>
      <c r="B16" s="157" t="s">
        <v>94</v>
      </c>
      <c r="C16" s="157"/>
      <c r="E16" s="6"/>
      <c r="F16" s="6"/>
    </row>
    <row r="18" spans="1:11" x14ac:dyDescent="0.35">
      <c r="A18" s="4"/>
      <c r="B18" s="421" t="s">
        <v>179</v>
      </c>
      <c r="C18" s="422"/>
      <c r="D18" s="422"/>
      <c r="E18" s="423"/>
      <c r="F18" s="415" t="s">
        <v>180</v>
      </c>
      <c r="G18" s="416"/>
      <c r="H18" s="416"/>
      <c r="I18" s="417"/>
    </row>
    <row r="19" spans="1:11" x14ac:dyDescent="0.35">
      <c r="A19" s="121" t="s">
        <v>349</v>
      </c>
      <c r="B19" s="4" t="s">
        <v>184</v>
      </c>
      <c r="C19" s="4" t="s">
        <v>185</v>
      </c>
      <c r="D19" s="4" t="s">
        <v>186</v>
      </c>
      <c r="E19" s="121" t="s">
        <v>171</v>
      </c>
      <c r="F19" s="4" t="s">
        <v>184</v>
      </c>
      <c r="G19" s="4" t="s">
        <v>185</v>
      </c>
      <c r="H19" s="4" t="s">
        <v>186</v>
      </c>
      <c r="I19" s="121" t="s">
        <v>171</v>
      </c>
    </row>
    <row r="20" spans="1:11" ht="29" x14ac:dyDescent="0.35">
      <c r="A20" s="278" t="s">
        <v>343</v>
      </c>
      <c r="B20" s="279">
        <v>2.8985507246376812E-2</v>
      </c>
      <c r="C20" s="279">
        <v>2.8985507246376808E-2</v>
      </c>
      <c r="D20" s="279">
        <v>0</v>
      </c>
      <c r="E20" s="279">
        <v>0</v>
      </c>
      <c r="F20" s="279">
        <v>3.0927835051546393E-2</v>
      </c>
      <c r="G20" s="279">
        <v>2.4742268041237112E-2</v>
      </c>
      <c r="H20" s="279">
        <v>0</v>
      </c>
      <c r="I20" s="279">
        <v>0</v>
      </c>
    </row>
    <row r="21" spans="1:11" ht="29" x14ac:dyDescent="0.35">
      <c r="A21" s="262" t="s">
        <v>344</v>
      </c>
      <c r="B21" s="279">
        <v>0.20496894409937888</v>
      </c>
      <c r="C21" s="279">
        <v>0.18633540372670809</v>
      </c>
      <c r="D21" s="279">
        <v>0</v>
      </c>
      <c r="E21" s="279">
        <v>2.070393374741201E-3</v>
      </c>
      <c r="F21" s="279">
        <v>0.17731958762886599</v>
      </c>
      <c r="G21" s="279">
        <v>0.20412371134020618</v>
      </c>
      <c r="H21" s="279">
        <v>0</v>
      </c>
      <c r="I21" s="279">
        <v>2.0618556701030928E-3</v>
      </c>
    </row>
    <row r="22" spans="1:11" ht="29" x14ac:dyDescent="0.35">
      <c r="A22" s="262" t="s">
        <v>350</v>
      </c>
      <c r="B22" s="279">
        <v>8.6956521739130432E-2</v>
      </c>
      <c r="C22" s="279">
        <v>0.21739130434782608</v>
      </c>
      <c r="D22" s="279">
        <v>6.2111801242236021E-3</v>
      </c>
      <c r="E22" s="279">
        <v>4.140786749482402E-3</v>
      </c>
      <c r="F22" s="279">
        <v>0.10103092783505155</v>
      </c>
      <c r="G22" s="279">
        <v>0.2309278350515464</v>
      </c>
      <c r="H22" s="279">
        <v>2.0618556701030928E-3</v>
      </c>
      <c r="I22" s="279">
        <v>2.0618556701030928E-3</v>
      </c>
    </row>
    <row r="23" spans="1:11" ht="43.5" x14ac:dyDescent="0.35">
      <c r="A23" s="262" t="s">
        <v>346</v>
      </c>
      <c r="B23" s="279">
        <v>8.2815734989648039E-3</v>
      </c>
      <c r="C23" s="279">
        <v>4.140786749482402E-3</v>
      </c>
      <c r="D23" s="279">
        <v>0</v>
      </c>
      <c r="E23" s="279">
        <v>0</v>
      </c>
      <c r="F23" s="279">
        <v>8.2474226804123713E-3</v>
      </c>
      <c r="G23" s="279">
        <v>6.1855670103092781E-3</v>
      </c>
      <c r="H23" s="279">
        <v>0</v>
      </c>
      <c r="I23" s="279">
        <v>0</v>
      </c>
    </row>
    <row r="24" spans="1:11" ht="29" x14ac:dyDescent="0.35">
      <c r="A24" s="262" t="s">
        <v>351</v>
      </c>
      <c r="B24" s="279">
        <v>6.2111801242236021E-3</v>
      </c>
      <c r="C24" s="279">
        <v>6.2111801242236021E-3</v>
      </c>
      <c r="D24" s="279">
        <v>0</v>
      </c>
      <c r="E24" s="279">
        <v>0</v>
      </c>
      <c r="F24" s="279">
        <v>6.1855670103092781E-3</v>
      </c>
      <c r="G24" s="279">
        <v>6.1855670103092781E-3</v>
      </c>
      <c r="H24" s="279">
        <v>0</v>
      </c>
      <c r="I24" s="279">
        <v>0</v>
      </c>
    </row>
    <row r="25" spans="1:11" ht="30" customHeight="1" x14ac:dyDescent="0.35">
      <c r="A25" s="262" t="s">
        <v>348</v>
      </c>
      <c r="B25" s="279">
        <v>7.8674948240165632E-2</v>
      </c>
      <c r="C25" s="279">
        <v>0.10559006211180125</v>
      </c>
      <c r="D25" s="279">
        <v>2.070393374741201E-3</v>
      </c>
      <c r="E25" s="279">
        <v>2.2774327122153208E-2</v>
      </c>
      <c r="F25" s="279">
        <v>8.247422680412371E-2</v>
      </c>
      <c r="G25" s="279">
        <v>9.2783505154639179E-2</v>
      </c>
      <c r="H25" s="279">
        <v>2.0618556701030928E-3</v>
      </c>
      <c r="I25" s="279">
        <v>2.0618556701030927E-2</v>
      </c>
    </row>
    <row r="26" spans="1:11" x14ac:dyDescent="0.35">
      <c r="A26" s="121" t="s">
        <v>158</v>
      </c>
      <c r="B26" s="279">
        <v>0.41407867494824019</v>
      </c>
      <c r="C26" s="279">
        <v>0.54865424430641818</v>
      </c>
      <c r="D26" s="279">
        <v>8.2815734989648039E-3</v>
      </c>
      <c r="E26" s="279">
        <v>2.8985507246376812E-2</v>
      </c>
      <c r="F26" s="279">
        <v>0.40618556701030928</v>
      </c>
      <c r="G26" s="279">
        <v>0.56494845360824741</v>
      </c>
      <c r="H26" s="279">
        <v>4.1237113402061857E-3</v>
      </c>
      <c r="I26" s="279">
        <v>2.4742268041237112E-2</v>
      </c>
    </row>
    <row r="28" spans="1:11" x14ac:dyDescent="0.35">
      <c r="A28" s="1" t="s">
        <v>95</v>
      </c>
      <c r="B28" s="157" t="s">
        <v>96</v>
      </c>
      <c r="C28" s="157"/>
    </row>
    <row r="30" spans="1:11" x14ac:dyDescent="0.35">
      <c r="A30" s="420" t="s">
        <v>349</v>
      </c>
      <c r="B30" s="371" t="s">
        <v>174</v>
      </c>
      <c r="C30" s="371"/>
      <c r="D30" s="371" t="s">
        <v>175</v>
      </c>
      <c r="E30" s="371"/>
      <c r="F30" s="371" t="s">
        <v>176</v>
      </c>
      <c r="G30" s="371"/>
      <c r="H30" s="371" t="s">
        <v>177</v>
      </c>
      <c r="I30" s="371"/>
      <c r="J30" s="371" t="s">
        <v>178</v>
      </c>
      <c r="K30" s="371"/>
    </row>
    <row r="31" spans="1:11" x14ac:dyDescent="0.35">
      <c r="A31" s="420"/>
      <c r="B31" s="161" t="s">
        <v>184</v>
      </c>
      <c r="C31" s="161" t="s">
        <v>185</v>
      </c>
      <c r="D31" s="161" t="s">
        <v>184</v>
      </c>
      <c r="E31" s="161" t="s">
        <v>185</v>
      </c>
      <c r="F31" s="161" t="s">
        <v>184</v>
      </c>
      <c r="G31" s="161" t="s">
        <v>185</v>
      </c>
      <c r="H31" s="161" t="s">
        <v>184</v>
      </c>
      <c r="I31" s="161" t="s">
        <v>185</v>
      </c>
      <c r="J31" s="161" t="s">
        <v>184</v>
      </c>
      <c r="K31" s="161" t="s">
        <v>185</v>
      </c>
    </row>
    <row r="32" spans="1:11" x14ac:dyDescent="0.35">
      <c r="A32" s="177" t="s">
        <v>352</v>
      </c>
      <c r="B32" s="121" t="s">
        <v>266</v>
      </c>
      <c r="C32" s="121" t="s">
        <v>266</v>
      </c>
      <c r="D32" s="121" t="s">
        <v>266</v>
      </c>
      <c r="E32" s="121" t="s">
        <v>266</v>
      </c>
      <c r="F32" s="121" t="s">
        <v>266</v>
      </c>
      <c r="G32" s="121" t="s">
        <v>266</v>
      </c>
      <c r="H32" s="121">
        <v>0.4</v>
      </c>
      <c r="I32" s="121">
        <v>1.9</v>
      </c>
      <c r="J32" s="121">
        <v>1.7</v>
      </c>
      <c r="K32" s="121">
        <v>4.8</v>
      </c>
    </row>
    <row r="33" spans="1:19" x14ac:dyDescent="0.35">
      <c r="A33" s="177" t="s">
        <v>353</v>
      </c>
      <c r="B33" s="121">
        <v>0.2</v>
      </c>
      <c r="C33" s="121" t="s">
        <v>266</v>
      </c>
      <c r="D33" s="121">
        <v>0.2</v>
      </c>
      <c r="E33" s="121" t="s">
        <v>266</v>
      </c>
      <c r="F33" s="121">
        <v>0.2</v>
      </c>
      <c r="G33" s="121" t="s">
        <v>266</v>
      </c>
      <c r="H33" s="121">
        <v>0.4</v>
      </c>
      <c r="I33" s="121" t="s">
        <v>266</v>
      </c>
      <c r="J33" s="121">
        <v>0.4</v>
      </c>
      <c r="K33" s="121" t="s">
        <v>266</v>
      </c>
    </row>
    <row r="34" spans="1:19" x14ac:dyDescent="0.35">
      <c r="A34" s="177" t="s">
        <v>354</v>
      </c>
      <c r="B34" s="121">
        <v>3</v>
      </c>
      <c r="C34" s="121">
        <v>3</v>
      </c>
      <c r="D34" s="121">
        <v>3.5</v>
      </c>
      <c r="E34" s="121">
        <v>3.7</v>
      </c>
      <c r="F34" s="121">
        <v>3.6</v>
      </c>
      <c r="G34" s="121">
        <v>3.6</v>
      </c>
      <c r="H34" s="121">
        <v>3.6</v>
      </c>
      <c r="I34" s="121">
        <v>4.5999999999999996</v>
      </c>
      <c r="J34" s="121">
        <v>3.5</v>
      </c>
      <c r="K34" s="121">
        <v>5</v>
      </c>
    </row>
    <row r="35" spans="1:19" x14ac:dyDescent="0.35">
      <c r="A35" s="177" t="s">
        <v>355</v>
      </c>
      <c r="B35" s="121">
        <v>0.9</v>
      </c>
      <c r="C35" s="121">
        <v>1.3</v>
      </c>
      <c r="D35" s="121">
        <v>0.6</v>
      </c>
      <c r="E35" s="121">
        <v>1.7</v>
      </c>
      <c r="F35" s="121">
        <v>0.4</v>
      </c>
      <c r="G35" s="121">
        <v>1.5</v>
      </c>
      <c r="H35" s="121">
        <v>0.8</v>
      </c>
      <c r="I35" s="121">
        <v>1.9</v>
      </c>
      <c r="J35" s="121">
        <v>0.8</v>
      </c>
      <c r="K35" s="121">
        <v>2.2999999999999998</v>
      </c>
    </row>
    <row r="36" spans="1:19" x14ac:dyDescent="0.35">
      <c r="A36" s="177" t="s">
        <v>356</v>
      </c>
      <c r="B36" s="121">
        <v>18.5</v>
      </c>
      <c r="C36" s="121">
        <v>17.899999999999999</v>
      </c>
      <c r="D36" s="121">
        <v>20.100000000000001</v>
      </c>
      <c r="E36" s="121">
        <v>17.899999999999999</v>
      </c>
      <c r="F36" s="121">
        <v>18.5</v>
      </c>
      <c r="G36" s="121">
        <v>17.8</v>
      </c>
      <c r="H36" s="121">
        <v>17.8</v>
      </c>
      <c r="I36" s="121">
        <v>17.8</v>
      </c>
      <c r="J36" s="121">
        <v>17.8</v>
      </c>
      <c r="K36" s="121">
        <v>18.2</v>
      </c>
    </row>
    <row r="37" spans="1:19" x14ac:dyDescent="0.35">
      <c r="A37" s="177" t="s">
        <v>357</v>
      </c>
      <c r="B37" s="121">
        <v>1.1000000000000001</v>
      </c>
      <c r="C37" s="121">
        <v>1.7</v>
      </c>
      <c r="D37" s="121">
        <v>0.9</v>
      </c>
      <c r="E37" s="121">
        <v>1.5</v>
      </c>
      <c r="F37" s="121">
        <v>0.9</v>
      </c>
      <c r="G37" s="121">
        <v>1.5</v>
      </c>
      <c r="H37" s="121">
        <v>1.5</v>
      </c>
      <c r="I37" s="121">
        <v>1.7</v>
      </c>
      <c r="J37" s="121">
        <v>1</v>
      </c>
      <c r="K37" s="121">
        <v>1.7</v>
      </c>
    </row>
    <row r="38" spans="1:19" x14ac:dyDescent="0.35">
      <c r="A38" s="177" t="s">
        <v>358</v>
      </c>
      <c r="B38" s="121">
        <v>0.6</v>
      </c>
      <c r="C38" s="121">
        <v>1.3</v>
      </c>
      <c r="D38" s="121">
        <v>0.6</v>
      </c>
      <c r="E38" s="121">
        <v>0.6</v>
      </c>
      <c r="F38" s="121">
        <v>0.6</v>
      </c>
      <c r="G38" s="121">
        <v>0.6</v>
      </c>
      <c r="H38" s="121">
        <v>0.8</v>
      </c>
      <c r="I38" s="121">
        <v>0.4</v>
      </c>
      <c r="J38" s="121">
        <v>0.8</v>
      </c>
      <c r="K38" s="121">
        <v>0.4</v>
      </c>
    </row>
    <row r="39" spans="1:19" x14ac:dyDescent="0.35">
      <c r="A39" s="177" t="s">
        <v>359</v>
      </c>
      <c r="B39" s="121">
        <v>6.2</v>
      </c>
      <c r="C39" s="121">
        <v>14.7</v>
      </c>
      <c r="D39" s="121">
        <v>7.3</v>
      </c>
      <c r="E39" s="121">
        <v>15.6</v>
      </c>
      <c r="F39" s="121">
        <v>7.1</v>
      </c>
      <c r="G39" s="121">
        <v>14.8</v>
      </c>
      <c r="H39" s="121">
        <v>5</v>
      </c>
      <c r="I39" s="121">
        <v>12.3</v>
      </c>
      <c r="J39" s="121">
        <v>4.8</v>
      </c>
      <c r="K39" s="121">
        <v>10.5</v>
      </c>
    </row>
    <row r="40" spans="1:19" x14ac:dyDescent="0.35">
      <c r="A40" s="177" t="s">
        <v>360</v>
      </c>
      <c r="B40" s="121">
        <v>0.9</v>
      </c>
      <c r="C40" s="121">
        <v>0.6</v>
      </c>
      <c r="D40" s="121">
        <v>0.6</v>
      </c>
      <c r="E40" s="121">
        <v>0.6</v>
      </c>
      <c r="F40" s="121">
        <v>0.2</v>
      </c>
      <c r="G40" s="121">
        <v>0.6</v>
      </c>
      <c r="H40" s="121">
        <v>0.2</v>
      </c>
      <c r="I40" s="121">
        <v>0.4</v>
      </c>
      <c r="J40" s="121">
        <v>0.2</v>
      </c>
      <c r="K40" s="121">
        <v>0.4</v>
      </c>
    </row>
    <row r="41" spans="1:19" x14ac:dyDescent="0.35">
      <c r="A41" s="177" t="s">
        <v>277</v>
      </c>
      <c r="B41" s="121">
        <v>6</v>
      </c>
      <c r="C41" s="121">
        <v>8.9</v>
      </c>
      <c r="D41" s="121">
        <v>5.6</v>
      </c>
      <c r="E41" s="121">
        <v>7.1</v>
      </c>
      <c r="F41" s="121">
        <v>7.7</v>
      </c>
      <c r="G41" s="121">
        <v>9</v>
      </c>
      <c r="H41" s="121">
        <v>9</v>
      </c>
      <c r="I41" s="121">
        <v>10.3</v>
      </c>
      <c r="J41" s="121">
        <v>8.6999999999999993</v>
      </c>
      <c r="K41" s="121">
        <v>9.1</v>
      </c>
    </row>
    <row r="42" spans="1:19" x14ac:dyDescent="0.35">
      <c r="A42" s="177" t="s">
        <v>335</v>
      </c>
      <c r="B42" s="121">
        <v>5.0999999999999996</v>
      </c>
      <c r="C42" s="121">
        <v>8.3000000000000007</v>
      </c>
      <c r="D42" s="121">
        <v>4.5</v>
      </c>
      <c r="E42" s="121">
        <v>7.1</v>
      </c>
      <c r="F42" s="121">
        <v>4.3</v>
      </c>
      <c r="G42" s="121">
        <v>6.9</v>
      </c>
      <c r="H42" s="121">
        <v>2.7</v>
      </c>
      <c r="I42" s="121">
        <v>6.5</v>
      </c>
      <c r="J42" s="121">
        <v>2.7</v>
      </c>
      <c r="K42" s="121">
        <v>5.4</v>
      </c>
    </row>
    <row r="43" spans="1:19" x14ac:dyDescent="0.35">
      <c r="A43" s="177" t="s">
        <v>158</v>
      </c>
      <c r="B43" s="121">
        <v>42.3</v>
      </c>
      <c r="C43" s="121">
        <v>57.7</v>
      </c>
      <c r="D43" s="121">
        <v>44.1</v>
      </c>
      <c r="E43" s="121">
        <v>55.9</v>
      </c>
      <c r="F43" s="121">
        <v>43.6</v>
      </c>
      <c r="G43" s="121">
        <v>56.4</v>
      </c>
      <c r="H43" s="121">
        <v>42.3</v>
      </c>
      <c r="I43" s="121">
        <v>57.7</v>
      </c>
      <c r="J43" s="121">
        <v>42.4</v>
      </c>
      <c r="K43" s="121">
        <v>57.6</v>
      </c>
    </row>
    <row r="45" spans="1:19" x14ac:dyDescent="0.35">
      <c r="A45" s="1" t="s">
        <v>97</v>
      </c>
      <c r="B45" t="s">
        <v>98</v>
      </c>
    </row>
    <row r="47" spans="1:19" ht="30" customHeight="1" x14ac:dyDescent="0.35">
      <c r="A47" s="356" t="s">
        <v>114</v>
      </c>
      <c r="B47" s="370" t="s">
        <v>361</v>
      </c>
      <c r="C47" s="370"/>
      <c r="D47" s="370"/>
      <c r="E47" s="370" t="s">
        <v>362</v>
      </c>
      <c r="F47" s="370"/>
      <c r="G47" s="370"/>
      <c r="H47" s="424" t="s">
        <v>363</v>
      </c>
      <c r="I47" s="424"/>
      <c r="J47" s="424"/>
      <c r="K47" s="424" t="s">
        <v>364</v>
      </c>
      <c r="L47" s="424"/>
      <c r="M47" s="424"/>
      <c r="N47" s="370" t="s">
        <v>347</v>
      </c>
      <c r="O47" s="370"/>
      <c r="P47" s="370"/>
      <c r="Q47" s="370" t="s">
        <v>171</v>
      </c>
      <c r="R47" s="370"/>
      <c r="S47" s="370"/>
    </row>
    <row r="48" spans="1:19" ht="15" customHeight="1" x14ac:dyDescent="0.35">
      <c r="A48" s="356"/>
      <c r="B48" s="121" t="s">
        <v>195</v>
      </c>
      <c r="C48" s="121" t="s">
        <v>138</v>
      </c>
      <c r="D48" s="121" t="s">
        <v>365</v>
      </c>
      <c r="E48" s="121" t="s">
        <v>195</v>
      </c>
      <c r="F48" s="121" t="s">
        <v>138</v>
      </c>
      <c r="G48" s="121" t="s">
        <v>366</v>
      </c>
      <c r="H48" s="121" t="s">
        <v>195</v>
      </c>
      <c r="I48" s="121" t="s">
        <v>138</v>
      </c>
      <c r="J48" s="121" t="s">
        <v>366</v>
      </c>
      <c r="K48" s="121" t="s">
        <v>195</v>
      </c>
      <c r="L48" s="121" t="s">
        <v>138</v>
      </c>
      <c r="M48" s="121" t="s">
        <v>366</v>
      </c>
      <c r="N48" s="121" t="s">
        <v>195</v>
      </c>
      <c r="O48" s="121" t="s">
        <v>138</v>
      </c>
      <c r="P48" s="121" t="s">
        <v>366</v>
      </c>
      <c r="Q48" s="121" t="s">
        <v>195</v>
      </c>
      <c r="R48" s="121" t="s">
        <v>138</v>
      </c>
      <c r="S48" s="121" t="s">
        <v>366</v>
      </c>
    </row>
    <row r="49" spans="1:19" x14ac:dyDescent="0.35">
      <c r="A49" s="3">
        <v>44286</v>
      </c>
      <c r="B49" s="61">
        <v>40</v>
      </c>
      <c r="C49" s="61">
        <v>3</v>
      </c>
      <c r="D49" s="61">
        <v>0</v>
      </c>
      <c r="E49" s="61">
        <f>35+426</f>
        <v>461</v>
      </c>
      <c r="F49" s="61">
        <f>3+42</f>
        <v>45</v>
      </c>
      <c r="G49" s="61">
        <v>5</v>
      </c>
      <c r="H49" s="61">
        <f>1429+468</f>
        <v>1897</v>
      </c>
      <c r="I49" s="61">
        <f>69+33</f>
        <v>102</v>
      </c>
      <c r="J49" s="61">
        <f>17+9</f>
        <v>26</v>
      </c>
      <c r="K49" s="61">
        <v>15</v>
      </c>
      <c r="L49" s="61">
        <v>0</v>
      </c>
      <c r="M49" s="61">
        <v>0</v>
      </c>
      <c r="N49" s="61">
        <v>2</v>
      </c>
      <c r="O49" s="61">
        <v>0</v>
      </c>
      <c r="P49" s="61">
        <v>0</v>
      </c>
      <c r="Q49" s="61">
        <v>110</v>
      </c>
      <c r="R49" s="61">
        <v>11</v>
      </c>
      <c r="S49" s="61">
        <v>0</v>
      </c>
    </row>
    <row r="50" spans="1:19" x14ac:dyDescent="0.35">
      <c r="A50" s="3">
        <v>44651</v>
      </c>
      <c r="B50" s="61">
        <v>29</v>
      </c>
      <c r="C50" s="61">
        <v>3</v>
      </c>
      <c r="D50" s="61">
        <v>2</v>
      </c>
      <c r="E50" s="61">
        <f>121+15+1</f>
        <v>137</v>
      </c>
      <c r="F50" s="61">
        <f>5+28+1</f>
        <v>34</v>
      </c>
      <c r="G50" s="61">
        <f>1+10+1</f>
        <v>12</v>
      </c>
      <c r="H50" s="61">
        <f>383+144</f>
        <v>527</v>
      </c>
      <c r="I50" s="61">
        <f>52+20</f>
        <v>72</v>
      </c>
      <c r="J50" s="61">
        <f>14+4</f>
        <v>18</v>
      </c>
      <c r="K50" s="61">
        <v>4</v>
      </c>
      <c r="L50" s="61">
        <v>1</v>
      </c>
      <c r="M50" s="61">
        <v>1</v>
      </c>
      <c r="N50" s="61">
        <v>0</v>
      </c>
      <c r="O50" s="61">
        <v>0</v>
      </c>
      <c r="P50" s="61">
        <v>0</v>
      </c>
      <c r="Q50" s="61">
        <v>255</v>
      </c>
      <c r="R50" s="61">
        <v>86</v>
      </c>
      <c r="S50" s="61">
        <v>22</v>
      </c>
    </row>
    <row r="51" spans="1:19" x14ac:dyDescent="0.35">
      <c r="A51" s="3">
        <v>45016</v>
      </c>
      <c r="B51" s="61">
        <v>43</v>
      </c>
      <c r="C51" s="61">
        <v>11</v>
      </c>
      <c r="D51" s="61">
        <v>1</v>
      </c>
      <c r="E51" s="61">
        <v>273</v>
      </c>
      <c r="F51" s="61">
        <v>81</v>
      </c>
      <c r="G51" s="61">
        <v>25</v>
      </c>
      <c r="H51" s="61">
        <f>646+196</f>
        <v>842</v>
      </c>
      <c r="I51" s="61">
        <f>100+45</f>
        <v>145</v>
      </c>
      <c r="J51" s="61">
        <f>27+15</f>
        <v>42</v>
      </c>
      <c r="K51" s="61">
        <v>2</v>
      </c>
      <c r="L51" s="61">
        <v>1</v>
      </c>
      <c r="M51" s="61">
        <v>0</v>
      </c>
      <c r="N51" s="61">
        <v>2</v>
      </c>
      <c r="O51" s="61">
        <v>0</v>
      </c>
      <c r="P51" s="61">
        <v>0</v>
      </c>
      <c r="Q51" s="61">
        <v>322</v>
      </c>
      <c r="R51" s="61">
        <v>51</v>
      </c>
      <c r="S51" s="61">
        <v>9</v>
      </c>
    </row>
    <row r="52" spans="1:19" x14ac:dyDescent="0.35">
      <c r="A52" s="3">
        <v>45382</v>
      </c>
      <c r="B52" s="61">
        <v>54</v>
      </c>
      <c r="C52" s="61">
        <v>6</v>
      </c>
      <c r="D52" s="61">
        <v>1</v>
      </c>
      <c r="E52" s="61">
        <v>625</v>
      </c>
      <c r="F52" s="61">
        <v>119</v>
      </c>
      <c r="G52" s="61">
        <v>13</v>
      </c>
      <c r="H52" s="61">
        <v>1625</v>
      </c>
      <c r="I52" s="61">
        <v>251</v>
      </c>
      <c r="J52" s="61">
        <v>34</v>
      </c>
      <c r="K52" s="61">
        <v>15</v>
      </c>
      <c r="L52" s="61">
        <v>3</v>
      </c>
      <c r="M52" s="61">
        <v>1</v>
      </c>
      <c r="N52" s="61">
        <v>8</v>
      </c>
      <c r="O52" s="61">
        <v>4</v>
      </c>
      <c r="P52" s="61">
        <v>1</v>
      </c>
      <c r="Q52" s="61">
        <v>343</v>
      </c>
      <c r="R52" s="61">
        <v>75</v>
      </c>
      <c r="S52" s="61">
        <v>11</v>
      </c>
    </row>
    <row r="53" spans="1:19" x14ac:dyDescent="0.35">
      <c r="A53" s="3" t="s">
        <v>125</v>
      </c>
      <c r="B53" s="61">
        <v>193</v>
      </c>
      <c r="C53" s="61">
        <v>39</v>
      </c>
      <c r="D53" s="61">
        <v>4</v>
      </c>
      <c r="E53" s="61">
        <v>1175</v>
      </c>
      <c r="F53" s="61">
        <v>204</v>
      </c>
      <c r="G53" s="61">
        <v>24</v>
      </c>
      <c r="H53" s="61">
        <v>2906</v>
      </c>
      <c r="I53" s="61">
        <v>434</v>
      </c>
      <c r="J53" s="61">
        <v>42</v>
      </c>
      <c r="K53" s="61">
        <v>8</v>
      </c>
      <c r="L53" s="61">
        <v>4</v>
      </c>
      <c r="M53" s="61">
        <v>1</v>
      </c>
      <c r="N53" s="61">
        <v>20</v>
      </c>
      <c r="O53" s="61">
        <v>5</v>
      </c>
      <c r="P53" s="61">
        <v>2</v>
      </c>
      <c r="Q53" s="61">
        <v>64</v>
      </c>
      <c r="R53" s="61">
        <v>94</v>
      </c>
      <c r="S53" s="61">
        <v>6</v>
      </c>
    </row>
    <row r="55" spans="1:19" x14ac:dyDescent="0.35">
      <c r="A55" s="1" t="s">
        <v>99</v>
      </c>
      <c r="B55" t="s">
        <v>100</v>
      </c>
    </row>
    <row r="57" spans="1:19" x14ac:dyDescent="0.35">
      <c r="A57" s="197" t="s">
        <v>349</v>
      </c>
      <c r="B57" s="198" t="s">
        <v>204</v>
      </c>
      <c r="C57" s="198" t="s">
        <v>205</v>
      </c>
      <c r="D57" s="198" t="s">
        <v>206</v>
      </c>
      <c r="E57" s="198" t="s">
        <v>153</v>
      </c>
      <c r="G57" s="197" t="s">
        <v>349</v>
      </c>
      <c r="H57" s="198" t="s">
        <v>154</v>
      </c>
      <c r="I57" s="198" t="s">
        <v>207</v>
      </c>
    </row>
    <row r="58" spans="1:19" ht="39" customHeight="1" x14ac:dyDescent="0.35">
      <c r="A58" s="197" t="s">
        <v>353</v>
      </c>
      <c r="B58" s="121">
        <v>1</v>
      </c>
      <c r="C58" s="121">
        <v>1</v>
      </c>
      <c r="D58" s="121">
        <v>1</v>
      </c>
      <c r="E58" s="121">
        <v>1</v>
      </c>
      <c r="G58" s="355" t="s">
        <v>344</v>
      </c>
      <c r="H58" s="370">
        <v>171</v>
      </c>
      <c r="I58" s="370">
        <v>99</v>
      </c>
    </row>
    <row r="59" spans="1:19" ht="15" customHeight="1" x14ac:dyDescent="0.35">
      <c r="A59" s="197" t="s">
        <v>357</v>
      </c>
      <c r="B59" s="121">
        <v>6</v>
      </c>
      <c r="C59" s="121">
        <v>9</v>
      </c>
      <c r="D59" s="121">
        <v>7</v>
      </c>
      <c r="E59" s="121">
        <v>6</v>
      </c>
      <c r="G59" s="355"/>
      <c r="H59" s="370"/>
      <c r="I59" s="370"/>
    </row>
    <row r="60" spans="1:19" ht="14.5" hidden="1" customHeight="1" x14ac:dyDescent="0.35">
      <c r="G60" s="355"/>
      <c r="H60" s="370"/>
      <c r="I60" s="370"/>
    </row>
    <row r="61" spans="1:19" x14ac:dyDescent="0.35">
      <c r="A61" s="197" t="s">
        <v>356</v>
      </c>
      <c r="B61" s="121">
        <v>124</v>
      </c>
      <c r="C61" s="121">
        <v>109</v>
      </c>
      <c r="D61" s="121">
        <v>85</v>
      </c>
      <c r="E61" s="121">
        <v>115</v>
      </c>
      <c r="G61" s="355"/>
      <c r="H61" s="370"/>
      <c r="I61" s="370"/>
    </row>
    <row r="62" spans="1:19" ht="43.5" x14ac:dyDescent="0.35">
      <c r="A62" s="197" t="s">
        <v>355</v>
      </c>
      <c r="B62" s="121">
        <v>7</v>
      </c>
      <c r="C62" s="121">
        <v>4</v>
      </c>
      <c r="D62" s="121">
        <v>4</v>
      </c>
      <c r="E62" s="121">
        <v>8</v>
      </c>
      <c r="G62" s="121" t="s">
        <v>343</v>
      </c>
      <c r="H62" s="4">
        <v>19</v>
      </c>
      <c r="I62" s="4">
        <v>13</v>
      </c>
    </row>
    <row r="63" spans="1:19" ht="72.5" x14ac:dyDescent="0.35">
      <c r="A63" s="197" t="s">
        <v>358</v>
      </c>
      <c r="B63" s="121">
        <v>3</v>
      </c>
      <c r="C63" s="121">
        <v>4</v>
      </c>
      <c r="D63" s="121">
        <v>5</v>
      </c>
      <c r="E63" s="121">
        <v>3</v>
      </c>
      <c r="G63" s="121" t="s">
        <v>346</v>
      </c>
      <c r="H63" s="4">
        <v>5</v>
      </c>
      <c r="I63" s="4">
        <v>5</v>
      </c>
    </row>
    <row r="64" spans="1:19" ht="39" customHeight="1" x14ac:dyDescent="0.35">
      <c r="A64" s="197" t="s">
        <v>359</v>
      </c>
      <c r="B64" s="121">
        <v>86</v>
      </c>
      <c r="C64" s="121">
        <v>63</v>
      </c>
      <c r="D64" s="121">
        <v>43</v>
      </c>
      <c r="E64" s="121">
        <v>43</v>
      </c>
      <c r="G64" s="355" t="s">
        <v>345</v>
      </c>
      <c r="H64" s="370">
        <v>154</v>
      </c>
      <c r="I64" s="370">
        <v>109</v>
      </c>
    </row>
    <row r="65" spans="1:9" x14ac:dyDescent="0.35">
      <c r="A65" s="197" t="s">
        <v>352</v>
      </c>
      <c r="B65" s="121" t="s">
        <v>266</v>
      </c>
      <c r="C65" s="121" t="s">
        <v>266</v>
      </c>
      <c r="D65" s="121">
        <v>6</v>
      </c>
      <c r="E65" s="121">
        <v>20</v>
      </c>
      <c r="G65" s="355"/>
      <c r="H65" s="370"/>
      <c r="I65" s="370"/>
    </row>
    <row r="66" spans="1:9" x14ac:dyDescent="0.35">
      <c r="A66" s="197" t="s">
        <v>354</v>
      </c>
      <c r="B66" s="121">
        <v>22</v>
      </c>
      <c r="C66" s="121">
        <v>26</v>
      </c>
      <c r="D66" s="121">
        <v>22</v>
      </c>
      <c r="E66" s="121">
        <v>25</v>
      </c>
      <c r="G66" s="355"/>
      <c r="H66" s="370"/>
      <c r="I66" s="370"/>
    </row>
    <row r="67" spans="1:9" ht="58" x14ac:dyDescent="0.35">
      <c r="A67" s="197" t="s">
        <v>360</v>
      </c>
      <c r="B67" s="121">
        <v>3</v>
      </c>
      <c r="C67" s="121">
        <v>3</v>
      </c>
      <c r="D67" s="121">
        <v>3</v>
      </c>
      <c r="E67" s="121">
        <v>1</v>
      </c>
      <c r="G67" s="121" t="s">
        <v>347</v>
      </c>
      <c r="H67" s="4">
        <v>5</v>
      </c>
      <c r="I67" s="4">
        <v>2</v>
      </c>
    </row>
    <row r="68" spans="1:9" ht="40.5" customHeight="1" x14ac:dyDescent="0.35">
      <c r="A68" s="197" t="s">
        <v>277</v>
      </c>
      <c r="B68" s="121">
        <v>46</v>
      </c>
      <c r="C68" s="121">
        <v>51</v>
      </c>
      <c r="D68" s="121">
        <v>58</v>
      </c>
      <c r="E68" s="121">
        <v>55</v>
      </c>
      <c r="G68" s="355" t="s">
        <v>348</v>
      </c>
      <c r="H68" s="370">
        <v>85</v>
      </c>
      <c r="I68" s="370">
        <v>47</v>
      </c>
    </row>
    <row r="69" spans="1:9" x14ac:dyDescent="0.35">
      <c r="A69" s="197" t="s">
        <v>335</v>
      </c>
      <c r="B69" s="121">
        <v>47</v>
      </c>
      <c r="C69" s="121">
        <v>38</v>
      </c>
      <c r="D69" s="121">
        <v>20</v>
      </c>
      <c r="E69" s="121">
        <v>23</v>
      </c>
      <c r="G69" s="355"/>
      <c r="H69" s="370"/>
      <c r="I69" s="370"/>
    </row>
    <row r="70" spans="1:9" x14ac:dyDescent="0.35">
      <c r="A70" s="197" t="s">
        <v>158</v>
      </c>
      <c r="B70" s="165">
        <v>345</v>
      </c>
      <c r="C70" s="165">
        <v>308</v>
      </c>
      <c r="D70" s="165">
        <v>254</v>
      </c>
      <c r="E70" s="165">
        <v>300</v>
      </c>
      <c r="G70" s="177" t="s">
        <v>158</v>
      </c>
      <c r="H70" s="4">
        <f>SUM(H58:H69)</f>
        <v>439</v>
      </c>
      <c r="I70" s="4">
        <f>SUM(I58:I69)</f>
        <v>275</v>
      </c>
    </row>
    <row r="72" spans="1:9" x14ac:dyDescent="0.35">
      <c r="A72" s="354" t="s">
        <v>159</v>
      </c>
      <c r="B72" s="354"/>
      <c r="C72" s="354"/>
      <c r="D72" s="354"/>
      <c r="E72" s="354"/>
    </row>
    <row r="73" spans="1:9" x14ac:dyDescent="0.35">
      <c r="A73" s="350" t="s">
        <v>160</v>
      </c>
      <c r="B73" s="350"/>
      <c r="C73" s="350"/>
      <c r="D73" s="350"/>
      <c r="E73" s="350"/>
    </row>
  </sheetData>
  <sheetProtection algorithmName="SHA-512" hashValue="hLL93Dg3PP8AAHad7iIKc++oWQk6Cr/A5pnyNWrssW4HYD9q3RmM+TVmeshV0RH1vC+jjUnaOVuaJA2DMH9r7A==" saltValue="fB/yYpR3K69BJl6xiXZXgg==" spinCount="100000" sheet="1" formatCells="0" formatColumns="0" formatRows="0" insertColumns="0" insertRows="0" insertHyperlinks="0" deleteColumns="0" deleteRows="0" sort="0" autoFilter="0" pivotTables="0"/>
  <mergeCells count="26">
    <mergeCell ref="A30:A31"/>
    <mergeCell ref="B30:C30"/>
    <mergeCell ref="D30:E30"/>
    <mergeCell ref="F30:G30"/>
    <mergeCell ref="H30:I30"/>
    <mergeCell ref="J30:K30"/>
    <mergeCell ref="G64:G66"/>
    <mergeCell ref="G58:G61"/>
    <mergeCell ref="B18:E18"/>
    <mergeCell ref="F18:I18"/>
    <mergeCell ref="B47:D47"/>
    <mergeCell ref="E47:G47"/>
    <mergeCell ref="H47:J47"/>
    <mergeCell ref="K47:M47"/>
    <mergeCell ref="N47:P47"/>
    <mergeCell ref="Q47:S47"/>
    <mergeCell ref="A47:A48"/>
    <mergeCell ref="A72:E72"/>
    <mergeCell ref="A73:E73"/>
    <mergeCell ref="G68:G69"/>
    <mergeCell ref="H58:H61"/>
    <mergeCell ref="I58:I61"/>
    <mergeCell ref="H64:H66"/>
    <mergeCell ref="I64:I66"/>
    <mergeCell ref="H68:H69"/>
    <mergeCell ref="I68:I6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B21A-C55E-4A2C-88BA-0BBB0241F05C}">
  <dimension ref="A1:AH60"/>
  <sheetViews>
    <sheetView showGridLines="0" zoomScale="90" zoomScaleNormal="90" workbookViewId="0"/>
  </sheetViews>
  <sheetFormatPr defaultRowHeight="14.5" x14ac:dyDescent="0.35"/>
  <cols>
    <col min="1" max="1" width="24" bestFit="1" customWidth="1"/>
    <col min="2" max="2" width="8.81640625" customWidth="1"/>
    <col min="3" max="3" width="9.54296875" customWidth="1"/>
    <col min="4" max="4" width="10.453125" customWidth="1"/>
    <col min="5" max="5" width="12" customWidth="1"/>
    <col min="6" max="6" width="9.54296875" customWidth="1"/>
    <col min="7" max="7" width="10.453125" customWidth="1"/>
    <col min="8" max="8" width="11.54296875" customWidth="1"/>
    <col min="9" max="9" width="10.453125" customWidth="1"/>
    <col min="10" max="10" width="11.54296875" customWidth="1"/>
    <col min="11" max="11" width="11" customWidth="1"/>
    <col min="12" max="12" width="9.54296875" customWidth="1"/>
    <col min="14" max="14" width="10.54296875" customWidth="1"/>
    <col min="15" max="15" width="10.453125" customWidth="1"/>
    <col min="16" max="17" width="10.54296875" customWidth="1"/>
    <col min="18" max="18" width="10.453125" customWidth="1"/>
    <col min="19" max="19" width="11.1796875" customWidth="1"/>
    <col min="20" max="20" width="11.54296875" customWidth="1"/>
    <col min="21" max="21" width="10.54296875" customWidth="1"/>
    <col min="22" max="22" width="10.453125" customWidth="1"/>
    <col min="23" max="23" width="11" customWidth="1"/>
    <col min="24" max="24" width="10.453125" customWidth="1"/>
    <col min="25" max="25" width="10.1796875" customWidth="1"/>
    <col min="26" max="26" width="11.1796875" customWidth="1"/>
    <col min="27" max="27" width="9.81640625" customWidth="1"/>
    <col min="28" max="28" width="12.453125" customWidth="1"/>
    <col min="29" max="29" width="10.81640625" customWidth="1"/>
    <col min="30" max="30" width="10.453125" customWidth="1"/>
    <col min="31" max="31" width="10.81640625" customWidth="1"/>
    <col min="32" max="32" width="11" customWidth="1"/>
    <col min="33" max="33" width="9.54296875" customWidth="1"/>
    <col min="34" max="34" width="8.1796875" customWidth="1"/>
  </cols>
  <sheetData>
    <row r="1" spans="1:12" x14ac:dyDescent="0.35">
      <c r="A1" s="7" t="s">
        <v>367</v>
      </c>
    </row>
    <row r="2" spans="1:12" x14ac:dyDescent="0.35">
      <c r="A2" s="7"/>
    </row>
    <row r="3" spans="1:12" x14ac:dyDescent="0.35">
      <c r="A3" s="1" t="s">
        <v>102</v>
      </c>
      <c r="B3" t="s">
        <v>103</v>
      </c>
    </row>
    <row r="5" spans="1:12" ht="29" x14ac:dyDescent="0.35">
      <c r="A5" s="3" t="s">
        <v>114</v>
      </c>
      <c r="B5" s="121" t="s">
        <v>368</v>
      </c>
      <c r="C5" s="121" t="s">
        <v>369</v>
      </c>
      <c r="D5" s="121" t="s">
        <v>370</v>
      </c>
      <c r="E5" s="121" t="s">
        <v>371</v>
      </c>
      <c r="F5" s="121" t="s">
        <v>372</v>
      </c>
      <c r="G5" s="121" t="s">
        <v>373</v>
      </c>
      <c r="H5" s="121" t="s">
        <v>374</v>
      </c>
      <c r="I5" s="121" t="s">
        <v>375</v>
      </c>
      <c r="J5" s="121" t="s">
        <v>376</v>
      </c>
      <c r="K5" s="121" t="s">
        <v>377</v>
      </c>
      <c r="L5" s="121" t="s">
        <v>378</v>
      </c>
    </row>
    <row r="6" spans="1:12" x14ac:dyDescent="0.35">
      <c r="A6" s="3">
        <v>43555</v>
      </c>
      <c r="B6" s="193">
        <v>4.0000000000000001E-3</v>
      </c>
      <c r="C6" s="193">
        <v>6.0999999999999999E-2</v>
      </c>
      <c r="D6" s="193">
        <v>0</v>
      </c>
      <c r="E6" s="193">
        <v>0.1</v>
      </c>
      <c r="F6" s="193">
        <v>2E-3</v>
      </c>
      <c r="G6" s="193">
        <v>0</v>
      </c>
      <c r="H6" s="193">
        <v>0</v>
      </c>
      <c r="I6" s="193">
        <v>0.41499999999999998</v>
      </c>
      <c r="J6" s="193">
        <v>0</v>
      </c>
      <c r="K6" s="193">
        <v>4.1000000000000002E-2</v>
      </c>
      <c r="L6" s="193">
        <v>0.378</v>
      </c>
    </row>
    <row r="7" spans="1:12" x14ac:dyDescent="0.35">
      <c r="A7" s="3">
        <v>43921</v>
      </c>
      <c r="B7" s="193">
        <v>4.0000000000000001E-3</v>
      </c>
      <c r="C7" s="193">
        <v>4.9000000000000002E-2</v>
      </c>
      <c r="D7" s="193">
        <v>0</v>
      </c>
      <c r="E7" s="193">
        <v>8.7999999999999995E-2</v>
      </c>
      <c r="F7" s="193">
        <v>2E-3</v>
      </c>
      <c r="G7" s="193">
        <v>0</v>
      </c>
      <c r="H7" s="193">
        <v>0</v>
      </c>
      <c r="I7" s="193">
        <v>0.40799999999999997</v>
      </c>
      <c r="J7" s="193">
        <v>0</v>
      </c>
      <c r="K7" s="193">
        <v>3.5999999999999997E-2</v>
      </c>
      <c r="L7" s="193">
        <v>0.41199999999999998</v>
      </c>
    </row>
    <row r="8" spans="1:12" x14ac:dyDescent="0.35">
      <c r="A8" s="3">
        <v>44286</v>
      </c>
      <c r="B8" s="193">
        <v>4.0000000000000001E-3</v>
      </c>
      <c r="C8" s="193">
        <v>4.9000000000000002E-2</v>
      </c>
      <c r="D8" s="193">
        <v>0</v>
      </c>
      <c r="E8" s="193">
        <v>8.7999999999999995E-2</v>
      </c>
      <c r="F8" s="193">
        <v>2E-3</v>
      </c>
      <c r="G8" s="193">
        <v>0</v>
      </c>
      <c r="H8" s="193">
        <v>0</v>
      </c>
      <c r="I8" s="193">
        <v>0.40799999999999997</v>
      </c>
      <c r="J8" s="193">
        <v>0</v>
      </c>
      <c r="K8" s="193">
        <v>3.5999999999999997E-2</v>
      </c>
      <c r="L8" s="193">
        <v>0.41199999999999998</v>
      </c>
    </row>
    <row r="9" spans="1:12" x14ac:dyDescent="0.35">
      <c r="A9" s="3">
        <v>44651</v>
      </c>
      <c r="B9" s="194">
        <v>4.0000000000000001E-3</v>
      </c>
      <c r="C9" s="194">
        <v>4.5999999999999999E-2</v>
      </c>
      <c r="D9" s="194">
        <v>0</v>
      </c>
      <c r="E9" s="194">
        <v>0.08</v>
      </c>
      <c r="F9" s="194">
        <v>2E-3</v>
      </c>
      <c r="G9" s="194">
        <v>2E-3</v>
      </c>
      <c r="H9" s="194">
        <v>2E-3</v>
      </c>
      <c r="I9" s="194">
        <v>0.41399999999999998</v>
      </c>
      <c r="J9" s="194">
        <v>0</v>
      </c>
      <c r="K9" s="194">
        <v>4.3999999999999997E-2</v>
      </c>
      <c r="L9" s="194">
        <v>0.40600000000000003</v>
      </c>
    </row>
    <row r="10" spans="1:12" x14ac:dyDescent="0.35">
      <c r="A10" s="3">
        <v>45016</v>
      </c>
      <c r="B10" s="193">
        <v>4.0000000000000001E-3</v>
      </c>
      <c r="C10" s="193">
        <v>4.1000000000000002E-2</v>
      </c>
      <c r="D10" s="193">
        <v>5.1999999999999998E-2</v>
      </c>
      <c r="E10" s="193">
        <v>7.3999999999999996E-2</v>
      </c>
      <c r="F10" s="193">
        <v>2E-3</v>
      </c>
      <c r="G10" s="193">
        <v>2E-3</v>
      </c>
      <c r="H10" s="193">
        <v>0</v>
      </c>
      <c r="I10" s="193">
        <v>0.44600000000000001</v>
      </c>
      <c r="J10" s="193">
        <v>0</v>
      </c>
      <c r="K10" s="193">
        <v>5.1999999999999998E-2</v>
      </c>
      <c r="L10" s="193">
        <v>0.378</v>
      </c>
    </row>
    <row r="11" spans="1:12" x14ac:dyDescent="0.35">
      <c r="A11" s="3">
        <v>45382</v>
      </c>
      <c r="B11" s="193">
        <v>4.1000000000000003E-3</v>
      </c>
      <c r="C11" s="193">
        <v>5.8000000000000003E-2</v>
      </c>
      <c r="D11" s="193">
        <v>9.5200000000000007E-2</v>
      </c>
      <c r="E11" s="193">
        <v>1.8599999999999998E-2</v>
      </c>
      <c r="F11" s="193">
        <v>4.1000000000000003E-3</v>
      </c>
      <c r="G11" s="193">
        <v>2.0999999999999999E-3</v>
      </c>
      <c r="H11" s="193">
        <v>4.1000000000000003E-3</v>
      </c>
      <c r="I11" s="193">
        <v>0.52170000000000005</v>
      </c>
      <c r="J11" s="193">
        <v>0</v>
      </c>
      <c r="K11" s="193">
        <v>4.9700000000000001E-2</v>
      </c>
      <c r="L11" s="193">
        <v>0.2422</v>
      </c>
    </row>
    <row r="12" spans="1:12" x14ac:dyDescent="0.35">
      <c r="A12" s="3" t="s">
        <v>125</v>
      </c>
      <c r="B12" s="193">
        <v>2.0999999999999999E-3</v>
      </c>
      <c r="C12" s="193">
        <v>4.7399999999999998E-2</v>
      </c>
      <c r="D12" s="193">
        <v>9.4799999999999995E-2</v>
      </c>
      <c r="E12" s="193">
        <v>1.24E-2</v>
      </c>
      <c r="F12" s="193">
        <v>2.0999999999999999E-3</v>
      </c>
      <c r="G12" s="193">
        <v>2.0999999999999999E-3</v>
      </c>
      <c r="H12" s="193">
        <v>4.1000000000000003E-3</v>
      </c>
      <c r="I12" s="193">
        <v>0.47220000000000001</v>
      </c>
      <c r="J12" s="193">
        <v>0</v>
      </c>
      <c r="K12" s="193">
        <v>4.5400000000000003E-2</v>
      </c>
      <c r="L12" s="193">
        <v>0.3175</v>
      </c>
    </row>
    <row r="14" spans="1:12" x14ac:dyDescent="0.35">
      <c r="A14" s="308" t="s">
        <v>240</v>
      </c>
      <c r="B14" s="331">
        <v>2.8E-3</v>
      </c>
      <c r="C14" s="331">
        <v>0.13300000000000001</v>
      </c>
      <c r="D14" s="331">
        <v>5.1299999999999998E-2</v>
      </c>
      <c r="E14" s="331">
        <v>0.2036</v>
      </c>
      <c r="F14" s="331">
        <v>5.4999999999999997E-3</v>
      </c>
      <c r="G14" s="331">
        <v>1.1000000000000001E-3</v>
      </c>
      <c r="H14" s="331">
        <v>2.1999999999999999E-2</v>
      </c>
      <c r="I14" s="331">
        <v>0.51119999999999999</v>
      </c>
      <c r="J14" s="331">
        <v>3.5000000000000001E-3</v>
      </c>
      <c r="K14" s="331">
        <v>2.3E-3</v>
      </c>
      <c r="L14" s="331">
        <v>6.1600000000000002E-2</v>
      </c>
    </row>
    <row r="16" spans="1:12" x14ac:dyDescent="0.35">
      <c r="A16" s="1" t="s">
        <v>104</v>
      </c>
      <c r="B16" t="s">
        <v>105</v>
      </c>
    </row>
    <row r="18" spans="1:18" ht="14.5" customHeight="1" x14ac:dyDescent="0.35">
      <c r="A18" s="420" t="s">
        <v>379</v>
      </c>
      <c r="B18" s="371" t="s">
        <v>175</v>
      </c>
      <c r="C18" s="371"/>
      <c r="D18" s="371" t="s">
        <v>176</v>
      </c>
      <c r="E18" s="371"/>
      <c r="F18" s="371" t="s">
        <v>177</v>
      </c>
      <c r="G18" s="371"/>
      <c r="H18" s="371" t="s">
        <v>178</v>
      </c>
      <c r="I18" s="371"/>
      <c r="J18" s="367" t="s">
        <v>179</v>
      </c>
      <c r="K18" s="368"/>
      <c r="L18" s="368"/>
      <c r="M18" s="369"/>
      <c r="N18" s="371" t="s">
        <v>180</v>
      </c>
      <c r="O18" s="371"/>
      <c r="P18" s="371"/>
      <c r="Q18" s="371"/>
      <c r="R18" s="319"/>
    </row>
    <row r="19" spans="1:18" ht="29" x14ac:dyDescent="0.35">
      <c r="A19" s="420"/>
      <c r="B19" s="161" t="s">
        <v>184</v>
      </c>
      <c r="C19" s="161" t="s">
        <v>185</v>
      </c>
      <c r="D19" s="161" t="s">
        <v>184</v>
      </c>
      <c r="E19" s="161" t="s">
        <v>185</v>
      </c>
      <c r="F19" s="161" t="s">
        <v>184</v>
      </c>
      <c r="G19" s="161" t="s">
        <v>185</v>
      </c>
      <c r="H19" s="161" t="s">
        <v>184</v>
      </c>
      <c r="I19" s="161" t="s">
        <v>185</v>
      </c>
      <c r="J19" s="161" t="s">
        <v>184</v>
      </c>
      <c r="K19" s="161" t="s">
        <v>185</v>
      </c>
      <c r="L19" s="188" t="s">
        <v>186</v>
      </c>
      <c r="M19" s="195" t="s">
        <v>171</v>
      </c>
      <c r="N19" s="161" t="s">
        <v>184</v>
      </c>
      <c r="O19" s="161" t="s">
        <v>185</v>
      </c>
      <c r="P19" s="188" t="s">
        <v>186</v>
      </c>
      <c r="Q19" s="320" t="s">
        <v>171</v>
      </c>
    </row>
    <row r="20" spans="1:18" x14ac:dyDescent="0.35">
      <c r="A20" s="177" t="s">
        <v>368</v>
      </c>
      <c r="B20" s="121">
        <v>0.2</v>
      </c>
      <c r="C20" s="121">
        <v>0.2</v>
      </c>
      <c r="D20" s="121">
        <v>0.2</v>
      </c>
      <c r="E20" s="121">
        <v>0.2</v>
      </c>
      <c r="F20" s="121">
        <v>0.2</v>
      </c>
      <c r="G20" s="121">
        <v>0.2</v>
      </c>
      <c r="H20" s="121">
        <v>0.2</v>
      </c>
      <c r="I20" s="121">
        <v>0.2</v>
      </c>
      <c r="J20" s="120">
        <v>0.21</v>
      </c>
      <c r="K20" s="120">
        <v>0.21</v>
      </c>
      <c r="L20" s="120">
        <v>0</v>
      </c>
      <c r="M20" s="120">
        <v>0</v>
      </c>
      <c r="N20" s="120">
        <v>0.21</v>
      </c>
      <c r="O20" s="120">
        <v>0</v>
      </c>
      <c r="P20" s="120">
        <v>0</v>
      </c>
      <c r="Q20" s="120">
        <v>0</v>
      </c>
    </row>
    <row r="21" spans="1:18" x14ac:dyDescent="0.35">
      <c r="A21" s="177" t="s">
        <v>371</v>
      </c>
      <c r="B21" s="121">
        <v>5</v>
      </c>
      <c r="C21" s="121">
        <v>5</v>
      </c>
      <c r="D21" s="121">
        <v>4.3</v>
      </c>
      <c r="E21" s="121">
        <v>4.5</v>
      </c>
      <c r="F21" s="121">
        <v>4</v>
      </c>
      <c r="G21" s="121">
        <v>4</v>
      </c>
      <c r="H21" s="121">
        <v>3.7</v>
      </c>
      <c r="I21" s="121">
        <v>3.7</v>
      </c>
      <c r="J21" s="120">
        <v>0.83</v>
      </c>
      <c r="K21" s="120">
        <v>1.04</v>
      </c>
      <c r="L21" s="120">
        <v>0</v>
      </c>
      <c r="M21" s="120">
        <v>0</v>
      </c>
      <c r="N21" s="120">
        <v>0.62</v>
      </c>
      <c r="O21" s="120">
        <v>0.62</v>
      </c>
      <c r="P21" s="120">
        <v>0</v>
      </c>
      <c r="Q21" s="120">
        <v>0</v>
      </c>
    </row>
    <row r="22" spans="1:18" x14ac:dyDescent="0.35">
      <c r="A22" s="177" t="s">
        <v>372</v>
      </c>
      <c r="B22" s="121">
        <v>0.2</v>
      </c>
      <c r="C22" s="121" t="s">
        <v>266</v>
      </c>
      <c r="D22" s="121">
        <v>0.2</v>
      </c>
      <c r="E22" s="121" t="s">
        <v>266</v>
      </c>
      <c r="F22" s="121">
        <v>0.2</v>
      </c>
      <c r="G22" s="121" t="s">
        <v>266</v>
      </c>
      <c r="H22" s="121">
        <v>0.2</v>
      </c>
      <c r="I22" s="121" t="s">
        <v>266</v>
      </c>
      <c r="J22" s="120">
        <v>0.21</v>
      </c>
      <c r="K22" s="120">
        <v>0.21</v>
      </c>
      <c r="L22" s="120">
        <v>0</v>
      </c>
      <c r="M22" s="120">
        <v>0</v>
      </c>
      <c r="N22" s="120">
        <v>0.21</v>
      </c>
      <c r="O22" s="120">
        <v>0.21</v>
      </c>
      <c r="P22" s="120">
        <v>0</v>
      </c>
      <c r="Q22" s="120">
        <v>0</v>
      </c>
    </row>
    <row r="23" spans="1:18" x14ac:dyDescent="0.35">
      <c r="A23" s="177" t="s">
        <v>373</v>
      </c>
      <c r="B23" s="121" t="s">
        <v>266</v>
      </c>
      <c r="C23" s="121" t="s">
        <v>266</v>
      </c>
      <c r="D23" s="121" t="s">
        <v>266</v>
      </c>
      <c r="E23" s="121" t="s">
        <v>266</v>
      </c>
      <c r="F23" s="121" t="s">
        <v>266</v>
      </c>
      <c r="G23" s="121">
        <v>0.2</v>
      </c>
      <c r="H23" s="121" t="s">
        <v>266</v>
      </c>
      <c r="I23" s="121">
        <v>0.2</v>
      </c>
      <c r="J23" s="120">
        <v>0</v>
      </c>
      <c r="K23" s="120">
        <v>0</v>
      </c>
      <c r="L23" s="120">
        <v>0.21</v>
      </c>
      <c r="M23" s="120">
        <v>0</v>
      </c>
      <c r="N23" s="120">
        <v>0</v>
      </c>
      <c r="O23" s="120">
        <v>0.21</v>
      </c>
      <c r="P23" s="120">
        <v>0</v>
      </c>
      <c r="Q23" s="120">
        <v>0</v>
      </c>
    </row>
    <row r="24" spans="1:18" x14ac:dyDescent="0.35">
      <c r="A24" s="177" t="s">
        <v>374</v>
      </c>
      <c r="B24" s="121" t="s">
        <v>266</v>
      </c>
      <c r="C24" s="121" t="s">
        <v>266</v>
      </c>
      <c r="D24" s="121" t="s">
        <v>266</v>
      </c>
      <c r="E24" s="121" t="s">
        <v>266</v>
      </c>
      <c r="F24" s="121">
        <v>0.2</v>
      </c>
      <c r="G24" s="121" t="s">
        <v>266</v>
      </c>
      <c r="H24" s="121" t="s">
        <v>266</v>
      </c>
      <c r="I24" s="121" t="s">
        <v>266</v>
      </c>
      <c r="J24" s="120">
        <v>0.21</v>
      </c>
      <c r="K24" s="120">
        <v>0.21</v>
      </c>
      <c r="L24" s="120">
        <v>0</v>
      </c>
      <c r="M24" s="120">
        <v>0</v>
      </c>
      <c r="N24" s="120">
        <v>0.21</v>
      </c>
      <c r="O24" s="120">
        <v>0.21</v>
      </c>
      <c r="P24" s="120">
        <v>0</v>
      </c>
      <c r="Q24" s="120">
        <v>0</v>
      </c>
    </row>
    <row r="25" spans="1:18" x14ac:dyDescent="0.35">
      <c r="A25" s="177" t="s">
        <v>369</v>
      </c>
      <c r="B25" s="121">
        <v>2.2000000000000002</v>
      </c>
      <c r="C25" s="121">
        <v>3.9</v>
      </c>
      <c r="D25" s="121">
        <v>1.7</v>
      </c>
      <c r="E25" s="121">
        <v>3.2</v>
      </c>
      <c r="F25" s="121">
        <v>1.3</v>
      </c>
      <c r="G25" s="121">
        <v>3.3</v>
      </c>
      <c r="H25" s="121">
        <v>1.2</v>
      </c>
      <c r="I25" s="121">
        <v>2.9</v>
      </c>
      <c r="J25" s="120">
        <v>2.48</v>
      </c>
      <c r="K25" s="120">
        <v>3.31</v>
      </c>
      <c r="L25" s="120">
        <v>0</v>
      </c>
      <c r="M25" s="120">
        <v>0</v>
      </c>
      <c r="N25" s="120">
        <v>2.27</v>
      </c>
      <c r="O25" s="120">
        <v>2.4700000000000002</v>
      </c>
      <c r="P25" s="120">
        <v>0</v>
      </c>
      <c r="Q25" s="120">
        <v>0</v>
      </c>
    </row>
    <row r="26" spans="1:18" x14ac:dyDescent="0.35">
      <c r="A26" s="177" t="s">
        <v>380</v>
      </c>
      <c r="B26" s="121">
        <v>1.9</v>
      </c>
      <c r="C26" s="121">
        <v>2.2000000000000002</v>
      </c>
      <c r="D26" s="121">
        <v>1.5</v>
      </c>
      <c r="E26" s="121">
        <v>2.1</v>
      </c>
      <c r="F26" s="121">
        <v>1.9</v>
      </c>
      <c r="G26" s="121">
        <v>2.5</v>
      </c>
      <c r="H26" s="121">
        <v>2.2999999999999998</v>
      </c>
      <c r="I26" s="121">
        <v>2.9</v>
      </c>
      <c r="J26" s="120">
        <v>1.45</v>
      </c>
      <c r="K26" s="120">
        <v>2.9</v>
      </c>
      <c r="L26" s="120">
        <v>0.62</v>
      </c>
      <c r="M26" s="120">
        <v>0</v>
      </c>
      <c r="N26" s="120">
        <v>1.44</v>
      </c>
      <c r="O26" s="120">
        <v>2.68</v>
      </c>
      <c r="P26" s="120">
        <v>0.41</v>
      </c>
      <c r="Q26" s="120">
        <v>0</v>
      </c>
    </row>
    <row r="27" spans="1:18" x14ac:dyDescent="0.35">
      <c r="A27" s="177" t="s">
        <v>381</v>
      </c>
      <c r="B27" s="121">
        <v>16.399999999999999</v>
      </c>
      <c r="C27" s="121">
        <v>25.1</v>
      </c>
      <c r="D27" s="121">
        <v>15.7</v>
      </c>
      <c r="E27" s="121">
        <v>25.1</v>
      </c>
      <c r="F27" s="121">
        <v>15.7</v>
      </c>
      <c r="G27" s="121">
        <v>25.7</v>
      </c>
      <c r="H27" s="121">
        <v>16.100000000000001</v>
      </c>
      <c r="I27" s="121">
        <v>28.5</v>
      </c>
      <c r="J27" s="120">
        <v>19.88</v>
      </c>
      <c r="K27" s="120">
        <v>31.68</v>
      </c>
      <c r="L27" s="120">
        <v>0</v>
      </c>
      <c r="M27" s="120">
        <v>0.62</v>
      </c>
      <c r="N27" s="120">
        <v>18.14</v>
      </c>
      <c r="O27" s="120">
        <v>28.66</v>
      </c>
      <c r="P27" s="120">
        <v>0</v>
      </c>
      <c r="Q27" s="120">
        <v>0.41</v>
      </c>
    </row>
    <row r="28" spans="1:18" x14ac:dyDescent="0.35">
      <c r="A28" s="177" t="s">
        <v>370</v>
      </c>
      <c r="B28" s="165"/>
      <c r="C28" s="165"/>
      <c r="D28" s="165"/>
      <c r="E28" s="165"/>
      <c r="F28" s="165"/>
      <c r="G28" s="165"/>
      <c r="H28" s="165"/>
      <c r="I28" s="165"/>
      <c r="J28" s="120">
        <v>3.73</v>
      </c>
      <c r="K28" s="120">
        <v>5.8</v>
      </c>
      <c r="L28" s="120">
        <v>0</v>
      </c>
      <c r="M28" s="120">
        <v>0</v>
      </c>
      <c r="N28" s="120">
        <v>3.71</v>
      </c>
      <c r="O28" s="120">
        <v>5.77</v>
      </c>
      <c r="P28" s="120">
        <v>0</v>
      </c>
      <c r="Q28" s="120">
        <v>0</v>
      </c>
    </row>
    <row r="29" spans="1:18" x14ac:dyDescent="0.35">
      <c r="A29" s="177" t="s">
        <v>382</v>
      </c>
      <c r="B29" s="127"/>
      <c r="C29" s="127"/>
      <c r="D29" s="127"/>
      <c r="E29" s="127"/>
      <c r="F29" s="127"/>
      <c r="G29" s="127"/>
      <c r="H29" s="127"/>
      <c r="I29" s="127"/>
      <c r="J29" s="120">
        <v>0</v>
      </c>
      <c r="K29" s="120">
        <v>0</v>
      </c>
      <c r="L29" s="120">
        <v>0</v>
      </c>
      <c r="M29" s="120">
        <v>0</v>
      </c>
      <c r="N29" s="120">
        <v>0</v>
      </c>
      <c r="O29" s="120">
        <v>0</v>
      </c>
      <c r="P29" s="120">
        <v>0</v>
      </c>
      <c r="Q29" s="120">
        <v>0</v>
      </c>
    </row>
    <row r="30" spans="1:18" x14ac:dyDescent="0.35">
      <c r="A30" s="177" t="s">
        <v>383</v>
      </c>
      <c r="B30" s="121">
        <v>18.100000000000001</v>
      </c>
      <c r="C30" s="121">
        <v>19.7</v>
      </c>
      <c r="D30" s="121">
        <v>20</v>
      </c>
      <c r="E30" s="121">
        <v>21.2</v>
      </c>
      <c r="F30" s="121">
        <v>18.8</v>
      </c>
      <c r="G30" s="121">
        <v>21.8</v>
      </c>
      <c r="H30" s="121">
        <v>18.600000000000001</v>
      </c>
      <c r="I30" s="121">
        <v>19.2</v>
      </c>
      <c r="J30" s="120">
        <v>10.97</v>
      </c>
      <c r="K30" s="120">
        <v>10.97</v>
      </c>
      <c r="L30" s="120">
        <v>0</v>
      </c>
      <c r="M30" s="120">
        <v>2.2799999999999998</v>
      </c>
      <c r="N30" s="120">
        <v>14.02</v>
      </c>
      <c r="O30" s="120">
        <v>15.67</v>
      </c>
      <c r="P30" s="120">
        <v>0</v>
      </c>
      <c r="Q30" s="120">
        <v>2.06</v>
      </c>
    </row>
    <row r="31" spans="1:18" x14ac:dyDescent="0.35">
      <c r="A31" s="177" t="s">
        <v>384</v>
      </c>
      <c r="B31" s="121">
        <v>44.1</v>
      </c>
      <c r="C31" s="121">
        <v>55.9</v>
      </c>
      <c r="D31" s="121">
        <v>43.6</v>
      </c>
      <c r="E31" s="121">
        <v>56.4</v>
      </c>
      <c r="F31" s="121">
        <v>42.3</v>
      </c>
      <c r="G31" s="121">
        <v>57.7</v>
      </c>
      <c r="H31" s="121">
        <v>42.4</v>
      </c>
      <c r="I31" s="121">
        <v>57.6</v>
      </c>
      <c r="J31" s="120">
        <f>SUM(J20:J30)</f>
        <v>39.97</v>
      </c>
      <c r="K31" s="120">
        <f t="shared" ref="K31:Q31" si="0">SUM(K20:K30)</f>
        <v>56.33</v>
      </c>
      <c r="L31" s="120">
        <f t="shared" si="0"/>
        <v>0.83</v>
      </c>
      <c r="M31" s="120">
        <f t="shared" si="0"/>
        <v>2.9</v>
      </c>
      <c r="N31" s="120">
        <f t="shared" si="0"/>
        <v>40.83</v>
      </c>
      <c r="O31" s="120">
        <f t="shared" si="0"/>
        <v>56.5</v>
      </c>
      <c r="P31" s="120">
        <f t="shared" si="0"/>
        <v>0.41</v>
      </c>
      <c r="Q31" s="120">
        <f t="shared" si="0"/>
        <v>2.4700000000000002</v>
      </c>
    </row>
    <row r="33" spans="1:34" x14ac:dyDescent="0.35">
      <c r="A33" s="43" t="s">
        <v>106</v>
      </c>
      <c r="B33" t="s">
        <v>107</v>
      </c>
    </row>
    <row r="34" spans="1:34" ht="15" thickBot="1" x14ac:dyDescent="0.4"/>
    <row r="35" spans="1:34" ht="72.5" x14ac:dyDescent="0.35">
      <c r="A35" s="135" t="s">
        <v>114</v>
      </c>
      <c r="B35" s="136" t="s">
        <v>385</v>
      </c>
      <c r="C35" s="137" t="s">
        <v>386</v>
      </c>
      <c r="D35" s="138" t="s">
        <v>387</v>
      </c>
      <c r="E35" s="136" t="s">
        <v>388</v>
      </c>
      <c r="F35" s="137" t="s">
        <v>389</v>
      </c>
      <c r="G35" s="138" t="s">
        <v>390</v>
      </c>
      <c r="H35" s="136" t="s">
        <v>391</v>
      </c>
      <c r="I35" s="137" t="s">
        <v>392</v>
      </c>
      <c r="J35" s="138" t="s">
        <v>393</v>
      </c>
      <c r="K35" s="136" t="s">
        <v>394</v>
      </c>
      <c r="L35" s="137" t="s">
        <v>395</v>
      </c>
      <c r="M35" s="138" t="s">
        <v>396</v>
      </c>
      <c r="N35" s="136" t="s">
        <v>397</v>
      </c>
      <c r="O35" s="137" t="s">
        <v>398</v>
      </c>
      <c r="P35" s="138" t="s">
        <v>399</v>
      </c>
      <c r="Q35" s="136" t="s">
        <v>400</v>
      </c>
      <c r="R35" s="137" t="s">
        <v>401</v>
      </c>
      <c r="S35" s="138" t="s">
        <v>402</v>
      </c>
      <c r="T35" s="136" t="s">
        <v>403</v>
      </c>
      <c r="U35" s="137" t="s">
        <v>404</v>
      </c>
      <c r="V35" s="138" t="s">
        <v>405</v>
      </c>
      <c r="W35" s="136" t="s">
        <v>406</v>
      </c>
      <c r="X35" s="137" t="s">
        <v>407</v>
      </c>
      <c r="Y35" s="138" t="s">
        <v>408</v>
      </c>
      <c r="Z35" s="136" t="s">
        <v>409</v>
      </c>
      <c r="AA35" s="137" t="s">
        <v>410</v>
      </c>
      <c r="AB35" s="138" t="s">
        <v>411</v>
      </c>
      <c r="AC35" s="136" t="s">
        <v>412</v>
      </c>
      <c r="AD35" s="137" t="s">
        <v>413</v>
      </c>
      <c r="AE35" s="138" t="s">
        <v>414</v>
      </c>
      <c r="AF35" s="136" t="s">
        <v>302</v>
      </c>
      <c r="AG35" s="137" t="s">
        <v>303</v>
      </c>
      <c r="AH35" s="138" t="s">
        <v>415</v>
      </c>
    </row>
    <row r="36" spans="1:34" x14ac:dyDescent="0.35">
      <c r="A36" s="52">
        <v>44286</v>
      </c>
      <c r="B36" s="15">
        <v>18</v>
      </c>
      <c r="C36" s="4">
        <v>3</v>
      </c>
      <c r="D36" s="17">
        <v>0</v>
      </c>
      <c r="E36" s="15">
        <v>215</v>
      </c>
      <c r="F36" s="4">
        <v>14</v>
      </c>
      <c r="G36" s="17">
        <v>2</v>
      </c>
      <c r="H36" s="15">
        <v>58</v>
      </c>
      <c r="I36" s="4">
        <v>3</v>
      </c>
      <c r="J36" s="17">
        <v>1</v>
      </c>
      <c r="K36" s="15">
        <v>149</v>
      </c>
      <c r="L36" s="4">
        <v>11</v>
      </c>
      <c r="M36" s="17">
        <v>3</v>
      </c>
      <c r="N36" s="15">
        <v>9</v>
      </c>
      <c r="O36" s="4">
        <v>1</v>
      </c>
      <c r="P36" s="17">
        <v>0</v>
      </c>
      <c r="Q36" s="15">
        <v>8</v>
      </c>
      <c r="R36" s="4">
        <v>0</v>
      </c>
      <c r="S36" s="17">
        <v>0</v>
      </c>
      <c r="T36" s="15">
        <v>19</v>
      </c>
      <c r="U36" s="4">
        <v>2</v>
      </c>
      <c r="V36" s="17">
        <v>0</v>
      </c>
      <c r="W36" s="15">
        <v>1516</v>
      </c>
      <c r="X36" s="4">
        <v>100</v>
      </c>
      <c r="Y36" s="17">
        <v>22</v>
      </c>
      <c r="Z36" s="15">
        <v>0</v>
      </c>
      <c r="AA36" s="4">
        <v>0</v>
      </c>
      <c r="AB36" s="17">
        <v>0</v>
      </c>
      <c r="AC36" s="15">
        <v>2</v>
      </c>
      <c r="AD36" s="4">
        <v>0</v>
      </c>
      <c r="AE36" s="17">
        <v>0</v>
      </c>
      <c r="AF36" s="15">
        <v>297</v>
      </c>
      <c r="AG36" s="4">
        <v>18</v>
      </c>
      <c r="AH36" s="17">
        <v>2</v>
      </c>
    </row>
    <row r="37" spans="1:34" x14ac:dyDescent="0.35">
      <c r="A37" s="52">
        <v>44651</v>
      </c>
      <c r="B37" s="15">
        <v>3</v>
      </c>
      <c r="C37" s="4">
        <v>0</v>
      </c>
      <c r="D37" s="17">
        <v>0</v>
      </c>
      <c r="E37" s="15">
        <v>62</v>
      </c>
      <c r="F37" s="4">
        <v>5</v>
      </c>
      <c r="G37" s="17">
        <v>2</v>
      </c>
      <c r="H37" s="15">
        <v>48</v>
      </c>
      <c r="I37" s="4">
        <v>9</v>
      </c>
      <c r="J37" s="17">
        <v>1</v>
      </c>
      <c r="K37" s="15">
        <v>39</v>
      </c>
      <c r="L37" s="4">
        <v>6</v>
      </c>
      <c r="M37" s="17">
        <v>1</v>
      </c>
      <c r="N37" s="15">
        <v>1</v>
      </c>
      <c r="O37" s="4">
        <v>0</v>
      </c>
      <c r="P37" s="17">
        <v>0</v>
      </c>
      <c r="Q37" s="15">
        <v>3</v>
      </c>
      <c r="R37" s="4">
        <v>0</v>
      </c>
      <c r="S37" s="17">
        <v>0</v>
      </c>
      <c r="T37" s="15">
        <v>7</v>
      </c>
      <c r="U37" s="4">
        <v>1</v>
      </c>
      <c r="V37" s="17">
        <v>1</v>
      </c>
      <c r="W37" s="15">
        <v>466</v>
      </c>
      <c r="X37" s="4">
        <v>72</v>
      </c>
      <c r="Y37" s="17">
        <v>21</v>
      </c>
      <c r="Z37" s="15">
        <v>0</v>
      </c>
      <c r="AA37" s="4">
        <v>0</v>
      </c>
      <c r="AB37" s="17">
        <v>0</v>
      </c>
      <c r="AC37" s="15">
        <v>19</v>
      </c>
      <c r="AD37" s="4">
        <v>4</v>
      </c>
      <c r="AE37" s="17">
        <v>0</v>
      </c>
      <c r="AF37" s="15">
        <v>304</v>
      </c>
      <c r="AG37" s="4">
        <v>99</v>
      </c>
      <c r="AH37" s="17">
        <v>33</v>
      </c>
    </row>
    <row r="38" spans="1:34" x14ac:dyDescent="0.35">
      <c r="A38" s="52">
        <v>45016</v>
      </c>
      <c r="B38" s="15">
        <v>7</v>
      </c>
      <c r="C38" s="4">
        <v>1</v>
      </c>
      <c r="D38" s="17">
        <v>0</v>
      </c>
      <c r="E38" s="15">
        <v>102</v>
      </c>
      <c r="F38" s="4">
        <v>15</v>
      </c>
      <c r="G38" s="17">
        <v>1</v>
      </c>
      <c r="H38" s="15">
        <v>110</v>
      </c>
      <c r="I38" s="4">
        <v>21</v>
      </c>
      <c r="J38" s="17">
        <v>0</v>
      </c>
      <c r="K38" s="15">
        <v>75</v>
      </c>
      <c r="L38" s="4">
        <v>21</v>
      </c>
      <c r="M38" s="17">
        <v>10</v>
      </c>
      <c r="N38" s="15">
        <v>13</v>
      </c>
      <c r="O38" s="4">
        <v>2</v>
      </c>
      <c r="P38" s="17">
        <v>1</v>
      </c>
      <c r="Q38" s="15">
        <v>8</v>
      </c>
      <c r="R38" s="4">
        <v>1</v>
      </c>
      <c r="S38" s="17">
        <v>0</v>
      </c>
      <c r="T38" s="15">
        <v>15</v>
      </c>
      <c r="U38" s="4">
        <v>2</v>
      </c>
      <c r="V38" s="17">
        <v>1</v>
      </c>
      <c r="W38" s="15">
        <v>793</v>
      </c>
      <c r="X38" s="4">
        <v>169</v>
      </c>
      <c r="Y38" s="17">
        <v>47</v>
      </c>
      <c r="Z38" s="15">
        <v>0</v>
      </c>
      <c r="AA38" s="4">
        <v>0</v>
      </c>
      <c r="AB38" s="17">
        <v>0</v>
      </c>
      <c r="AC38" s="15">
        <v>52</v>
      </c>
      <c r="AD38" s="4">
        <v>10</v>
      </c>
      <c r="AE38" s="17">
        <v>1</v>
      </c>
      <c r="AF38" s="15">
        <v>306</v>
      </c>
      <c r="AG38" s="4">
        <v>47</v>
      </c>
      <c r="AH38" s="17">
        <v>9</v>
      </c>
    </row>
    <row r="39" spans="1:34" x14ac:dyDescent="0.35">
      <c r="A39" s="52">
        <v>45382</v>
      </c>
      <c r="B39" s="15">
        <v>16</v>
      </c>
      <c r="C39" s="4">
        <v>2</v>
      </c>
      <c r="D39" s="17">
        <v>0</v>
      </c>
      <c r="E39" s="15">
        <v>218</v>
      </c>
      <c r="F39" s="4">
        <v>32</v>
      </c>
      <c r="G39" s="17">
        <v>7</v>
      </c>
      <c r="H39" s="15">
        <v>378</v>
      </c>
      <c r="I39" s="4">
        <v>58</v>
      </c>
      <c r="J39" s="17">
        <v>8</v>
      </c>
      <c r="K39" s="15">
        <v>0</v>
      </c>
      <c r="L39" s="4">
        <v>0</v>
      </c>
      <c r="M39" s="17">
        <v>0</v>
      </c>
      <c r="N39" s="15">
        <v>69</v>
      </c>
      <c r="O39" s="4">
        <v>7</v>
      </c>
      <c r="P39" s="17">
        <v>1</v>
      </c>
      <c r="Q39" s="15">
        <v>11</v>
      </c>
      <c r="R39" s="4">
        <v>2</v>
      </c>
      <c r="S39" s="17">
        <v>1</v>
      </c>
      <c r="T39" s="15">
        <v>99</v>
      </c>
      <c r="U39" s="4">
        <v>7</v>
      </c>
      <c r="V39" s="17">
        <v>1</v>
      </c>
      <c r="W39" s="15">
        <v>1372</v>
      </c>
      <c r="X39" s="4">
        <v>252</v>
      </c>
      <c r="Y39" s="17">
        <v>27</v>
      </c>
      <c r="Z39" s="15">
        <v>0</v>
      </c>
      <c r="AA39" s="4">
        <v>0</v>
      </c>
      <c r="AB39" s="17">
        <v>0</v>
      </c>
      <c r="AC39" s="15">
        <v>84</v>
      </c>
      <c r="AD39" s="4">
        <v>13</v>
      </c>
      <c r="AE39" s="17">
        <v>3</v>
      </c>
      <c r="AF39" s="15">
        <v>423</v>
      </c>
      <c r="AG39" s="4">
        <v>85</v>
      </c>
      <c r="AH39" s="17">
        <v>13</v>
      </c>
    </row>
    <row r="40" spans="1:34" ht="15" thickBot="1" x14ac:dyDescent="0.4">
      <c r="A40" s="53" t="s">
        <v>125</v>
      </c>
      <c r="B40" s="18">
        <v>45</v>
      </c>
      <c r="C40" s="19">
        <v>4</v>
      </c>
      <c r="D40" s="20">
        <v>1</v>
      </c>
      <c r="E40" s="18">
        <v>464</v>
      </c>
      <c r="F40" s="19">
        <v>67</v>
      </c>
      <c r="G40" s="20">
        <v>7</v>
      </c>
      <c r="H40" s="18">
        <v>606</v>
      </c>
      <c r="I40" s="19">
        <v>102</v>
      </c>
      <c r="J40" s="20">
        <v>6</v>
      </c>
      <c r="K40" s="18">
        <v>0</v>
      </c>
      <c r="L40" s="19">
        <v>0</v>
      </c>
      <c r="M40" s="20">
        <v>0</v>
      </c>
      <c r="N40" s="18">
        <v>142</v>
      </c>
      <c r="O40" s="19">
        <v>10</v>
      </c>
      <c r="P40" s="20">
        <v>2</v>
      </c>
      <c r="Q40" s="18">
        <v>37</v>
      </c>
      <c r="R40" s="19">
        <v>3</v>
      </c>
      <c r="S40" s="20">
        <v>2</v>
      </c>
      <c r="T40" s="18">
        <v>177</v>
      </c>
      <c r="U40" s="19">
        <v>19</v>
      </c>
      <c r="V40" s="20">
        <v>1</v>
      </c>
      <c r="W40" s="18">
        <v>2589</v>
      </c>
      <c r="X40" s="19">
        <v>452</v>
      </c>
      <c r="Y40" s="20">
        <v>49</v>
      </c>
      <c r="Z40" s="18">
        <v>0</v>
      </c>
      <c r="AA40" s="19">
        <v>0</v>
      </c>
      <c r="AB40" s="20">
        <v>0</v>
      </c>
      <c r="AC40" s="18">
        <v>136</v>
      </c>
      <c r="AD40" s="19">
        <v>21</v>
      </c>
      <c r="AE40" s="20">
        <v>1</v>
      </c>
      <c r="AF40" s="18">
        <v>803</v>
      </c>
      <c r="AG40" s="19">
        <v>111</v>
      </c>
      <c r="AH40" s="20">
        <v>14</v>
      </c>
    </row>
    <row r="42" spans="1:34" x14ac:dyDescent="0.35">
      <c r="A42" s="43" t="s">
        <v>108</v>
      </c>
      <c r="B42" t="s">
        <v>109</v>
      </c>
    </row>
    <row r="43" spans="1:34" ht="15" thickBot="1" x14ac:dyDescent="0.4"/>
    <row r="44" spans="1:34" x14ac:dyDescent="0.35">
      <c r="A44" s="321" t="s">
        <v>379</v>
      </c>
      <c r="B44" s="322" t="s">
        <v>204</v>
      </c>
      <c r="C44" s="322" t="s">
        <v>205</v>
      </c>
      <c r="D44" s="322" t="s">
        <v>206</v>
      </c>
      <c r="E44" s="322" t="s">
        <v>153</v>
      </c>
      <c r="F44" s="322" t="s">
        <v>154</v>
      </c>
      <c r="G44" s="323" t="s">
        <v>207</v>
      </c>
    </row>
    <row r="45" spans="1:34" x14ac:dyDescent="0.35">
      <c r="A45" s="324" t="s">
        <v>368</v>
      </c>
      <c r="B45" s="121">
        <v>2</v>
      </c>
      <c r="C45" s="121">
        <v>2</v>
      </c>
      <c r="D45" s="121">
        <v>2</v>
      </c>
      <c r="E45" s="121">
        <v>1</v>
      </c>
      <c r="F45" s="4">
        <v>2</v>
      </c>
      <c r="G45" s="17">
        <v>2</v>
      </c>
    </row>
    <row r="46" spans="1:34" x14ac:dyDescent="0.35">
      <c r="A46" s="324" t="s">
        <v>371</v>
      </c>
      <c r="B46" s="121">
        <v>31</v>
      </c>
      <c r="C46" s="121">
        <v>27</v>
      </c>
      <c r="D46" s="121">
        <v>22</v>
      </c>
      <c r="E46" s="121">
        <v>23</v>
      </c>
      <c r="F46" s="4">
        <v>8</v>
      </c>
      <c r="G46" s="17">
        <v>6</v>
      </c>
    </row>
    <row r="47" spans="1:34" x14ac:dyDescent="0.35">
      <c r="A47" s="324" t="s">
        <v>372</v>
      </c>
      <c r="B47" s="121">
        <v>1</v>
      </c>
      <c r="C47" s="121">
        <v>1</v>
      </c>
      <c r="D47" s="121">
        <v>1</v>
      </c>
      <c r="E47" s="121" t="s">
        <v>266</v>
      </c>
      <c r="F47" s="4">
        <v>2</v>
      </c>
      <c r="G47" s="17">
        <v>0</v>
      </c>
    </row>
    <row r="48" spans="1:34" x14ac:dyDescent="0.35">
      <c r="A48" s="324" t="s">
        <v>373</v>
      </c>
      <c r="B48" s="121">
        <v>0</v>
      </c>
      <c r="C48" s="121">
        <v>0</v>
      </c>
      <c r="D48" s="121">
        <v>1</v>
      </c>
      <c r="E48" s="121">
        <v>1</v>
      </c>
      <c r="F48" s="4">
        <v>1</v>
      </c>
      <c r="G48" s="17">
        <v>1</v>
      </c>
    </row>
    <row r="49" spans="1:7" x14ac:dyDescent="0.35">
      <c r="A49" s="324" t="s">
        <v>374</v>
      </c>
      <c r="B49" s="121">
        <v>0</v>
      </c>
      <c r="C49" s="121">
        <v>0</v>
      </c>
      <c r="D49" s="121">
        <v>1</v>
      </c>
      <c r="E49" s="121">
        <v>0</v>
      </c>
      <c r="F49" s="4">
        <v>0</v>
      </c>
      <c r="G49" s="17">
        <v>0</v>
      </c>
    </row>
    <row r="50" spans="1:7" x14ac:dyDescent="0.35">
      <c r="A50" s="324" t="s">
        <v>369</v>
      </c>
      <c r="B50" s="121">
        <v>20</v>
      </c>
      <c r="C50" s="121">
        <v>12</v>
      </c>
      <c r="D50" s="121">
        <v>12</v>
      </c>
      <c r="E50" s="121">
        <v>10</v>
      </c>
      <c r="F50" s="4">
        <v>23</v>
      </c>
      <c r="G50" s="17">
        <v>10</v>
      </c>
    </row>
    <row r="51" spans="1:7" x14ac:dyDescent="0.35">
      <c r="A51" s="324" t="s">
        <v>380</v>
      </c>
      <c r="B51" s="121">
        <v>13</v>
      </c>
      <c r="C51" s="121">
        <v>13</v>
      </c>
      <c r="D51" s="121">
        <v>10</v>
      </c>
      <c r="E51" s="121">
        <v>17</v>
      </c>
      <c r="F51" s="4">
        <v>23</v>
      </c>
      <c r="G51" s="17">
        <v>12</v>
      </c>
    </row>
    <row r="52" spans="1:7" x14ac:dyDescent="0.35">
      <c r="A52" s="281" t="s">
        <v>375</v>
      </c>
      <c r="B52" s="121">
        <v>150</v>
      </c>
      <c r="C52" s="121">
        <v>130</v>
      </c>
      <c r="D52" s="121">
        <v>106</v>
      </c>
      <c r="E52" s="121">
        <v>136</v>
      </c>
      <c r="F52" s="4">
        <v>237</v>
      </c>
      <c r="G52" s="17">
        <v>132</v>
      </c>
    </row>
    <row r="53" spans="1:7" x14ac:dyDescent="0.35">
      <c r="A53" s="281" t="s">
        <v>378</v>
      </c>
      <c r="B53" s="121">
        <v>128</v>
      </c>
      <c r="C53" s="121">
        <v>123</v>
      </c>
      <c r="D53" s="121">
        <v>99</v>
      </c>
      <c r="E53" s="121">
        <v>112</v>
      </c>
      <c r="F53" s="4">
        <v>103</v>
      </c>
      <c r="G53" s="17">
        <v>89</v>
      </c>
    </row>
    <row r="54" spans="1:7" x14ac:dyDescent="0.35">
      <c r="A54" s="281" t="s">
        <v>376</v>
      </c>
      <c r="B54" s="121">
        <v>0</v>
      </c>
      <c r="C54" s="121">
        <v>0</v>
      </c>
      <c r="D54" s="121">
        <v>0</v>
      </c>
      <c r="E54" s="121">
        <v>0</v>
      </c>
      <c r="F54" s="4">
        <v>0</v>
      </c>
      <c r="G54" s="17">
        <v>0</v>
      </c>
    </row>
    <row r="55" spans="1:7" x14ac:dyDescent="0.35">
      <c r="A55" s="282" t="s">
        <v>370</v>
      </c>
      <c r="B55" s="121"/>
      <c r="C55" s="121"/>
      <c r="D55" s="121"/>
      <c r="E55" s="121"/>
      <c r="F55" s="4">
        <v>40</v>
      </c>
      <c r="G55" s="17">
        <v>23</v>
      </c>
    </row>
    <row r="56" spans="1:7" ht="15" thickBot="1" x14ac:dyDescent="0.4">
      <c r="A56" s="325" t="s">
        <v>384</v>
      </c>
      <c r="B56" s="326">
        <v>345</v>
      </c>
      <c r="C56" s="326">
        <v>308</v>
      </c>
      <c r="D56" s="326">
        <v>254</v>
      </c>
      <c r="E56" s="326">
        <v>300</v>
      </c>
      <c r="F56" s="19">
        <f>SUM(F45:F55)</f>
        <v>439</v>
      </c>
      <c r="G56" s="20">
        <f>SUM(G45:G55)</f>
        <v>275</v>
      </c>
    </row>
    <row r="58" spans="1:7" x14ac:dyDescent="0.35">
      <c r="A58" s="354" t="s">
        <v>159</v>
      </c>
      <c r="B58" s="354"/>
      <c r="C58" s="354"/>
      <c r="D58" s="354"/>
      <c r="E58" s="354"/>
    </row>
    <row r="59" spans="1:7" ht="14.5" customHeight="1" x14ac:dyDescent="0.35">
      <c r="A59" s="350" t="s">
        <v>160</v>
      </c>
      <c r="B59" s="350"/>
      <c r="C59" s="350"/>
      <c r="D59" s="350"/>
      <c r="E59" s="350"/>
      <c r="F59" s="10"/>
      <c r="G59" s="10"/>
    </row>
    <row r="60" spans="1:7" ht="16.5" customHeight="1" x14ac:dyDescent="0.35">
      <c r="A60" s="351"/>
      <c r="B60" s="351"/>
      <c r="C60" s="351"/>
      <c r="D60" s="351"/>
      <c r="E60" s="351"/>
    </row>
  </sheetData>
  <sheetProtection algorithmName="SHA-512" hashValue="PNAUspkB0o5AaUYCEFCxVTfLD+BbjDdlYwQjEiKBah7LCbLaFSka2qUzYCK1c27DmDtBCZd+FyrW12nm0pMmkg==" saltValue="vhvGyKJxctnQDEB701EgEQ==" spinCount="100000" sheet="1" formatCells="0" formatColumns="0" formatRows="0" insertColumns="0" insertRows="0" insertHyperlinks="0" deleteColumns="0" deleteRows="0" sort="0" autoFilter="0" pivotTables="0"/>
  <mergeCells count="10">
    <mergeCell ref="A60:E60"/>
    <mergeCell ref="N18:Q18"/>
    <mergeCell ref="J18:M18"/>
    <mergeCell ref="A18:A19"/>
    <mergeCell ref="B18:C18"/>
    <mergeCell ref="D18:E18"/>
    <mergeCell ref="F18:G18"/>
    <mergeCell ref="H18:I18"/>
    <mergeCell ref="A58:E58"/>
    <mergeCell ref="A59:E5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FD41256713374FA98488E24CE484BF" ma:contentTypeVersion="8" ma:contentTypeDescription="Create a new document." ma:contentTypeScope="" ma:versionID="b45f61c46febeff8ce109c644f781da2">
  <xsd:schema xmlns:xsd="http://www.w3.org/2001/XMLSchema" xmlns:xs="http://www.w3.org/2001/XMLSchema" xmlns:p="http://schemas.microsoft.com/office/2006/metadata/properties" xmlns:ns2="c52ee606-e662-40f0-a615-62cc8212f2de" xmlns:ns3="8f8b794e-3056-4e93-b2d8-00dc9a07f292" targetNamespace="http://schemas.microsoft.com/office/2006/metadata/properties" ma:root="true" ma:fieldsID="67f7e1d8c89a98fcd14eb9d9e70e4dfa" ns2:_="" ns3:_="">
    <xsd:import namespace="c52ee606-e662-40f0-a615-62cc8212f2de"/>
    <xsd:import namespace="8f8b794e-3056-4e93-b2d8-00dc9a07f2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2ee606-e662-40f0-a615-62cc8212f2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8b794e-3056-4e93-b2d8-00dc9a07f29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262DB5-42F4-4D6B-A154-4E77769FCF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2ee606-e662-40f0-a615-62cc8212f2de"/>
    <ds:schemaRef ds:uri="8f8b794e-3056-4e93-b2d8-00dc9a07f2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EA5A74-0514-4AF4-B55C-66FF6BE014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35DEF8-AD68-4007-8912-949B8185D41F}">
  <ds:schemaRefs>
    <ds:schemaRef ds:uri="8f8b794e-3056-4e93-b2d8-00dc9a07f292"/>
    <ds:schemaRef ds:uri="http://purl.org/dc/elements/1.1/"/>
    <ds:schemaRef ds:uri="c52ee606-e662-40f0-a615-62cc8212f2de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Index</vt:lpstr>
      <vt:lpstr>Employee Profile (1)</vt:lpstr>
      <vt:lpstr>Age (2)</vt:lpstr>
      <vt:lpstr>Sex and Gender ID (3)</vt:lpstr>
      <vt:lpstr>Ethnicity (4)</vt:lpstr>
      <vt:lpstr>Disability (5)</vt:lpstr>
      <vt:lpstr>Sexual Orientation (6)</vt:lpstr>
      <vt:lpstr>Marriage, Civil Partnership (7)</vt:lpstr>
      <vt:lpstr>Faith and Belief (8)</vt:lpstr>
      <vt:lpstr>Promotion (10)</vt:lpstr>
      <vt:lpstr>Recruitment - Gender Id (10)</vt:lpstr>
      <vt:lpstr>Recruitment - Disability (11)</vt:lpstr>
      <vt:lpstr>Recruitment - Age (12)</vt:lpstr>
      <vt:lpstr>Recruitment - Ethnicity  (13)</vt:lpstr>
      <vt:lpstr>Recruitment - Religion (14)</vt:lpstr>
      <vt:lpstr>Recruit-Sexual Orientation (15)</vt:lpstr>
      <vt:lpstr>Recruitment-Marital Status (16)</vt:lpstr>
    </vt:vector>
  </TitlesOfParts>
  <Manager/>
  <Company>National Museums Scotland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Hausrath</dc:creator>
  <cp:keywords/>
  <dc:description/>
  <cp:lastModifiedBy>Michelle Hausrath</cp:lastModifiedBy>
  <cp:revision/>
  <dcterms:created xsi:type="dcterms:W3CDTF">2025-01-31T09:22:48Z</dcterms:created>
  <dcterms:modified xsi:type="dcterms:W3CDTF">2025-04-28T10:44:36Z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0x01010092FD41256713374FA98488E24CE484BF</vt:lpwstr>
  </property>
</Properties>
</file>